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SeismicData\YarrolBlockActivity\20240628\Doco\"/>
    </mc:Choice>
  </mc:AlternateContent>
  <xr:revisionPtr revIDLastSave="0" documentId="13_ncr:1_{22ED708C-47AF-4F24-80BA-1F88D07432D6}" xr6:coauthVersionLast="47" xr6:coauthVersionMax="47" xr10:uidLastSave="{00000000-0000-0000-0000-000000000000}"/>
  <bookViews>
    <workbookView xWindow="-120" yWindow="-120" windowWidth="20730" windowHeight="11160" tabRatio="497" activeTab="2" xr2:uid="{00000000-000D-0000-FFFF-FFFF00000000}"/>
  </bookViews>
  <sheets>
    <sheet name="Located" sheetId="1" r:id="rId1"/>
    <sheet name="Unlocated" sheetId="26" r:id="rId2"/>
    <sheet name="Decay Chart" sheetId="12" r:id="rId3"/>
    <sheet name="Magnitude Frequency Data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" i="26" l="1"/>
  <c r="A17" i="26"/>
  <c r="A16" i="26"/>
  <c r="A15" i="26"/>
  <c r="A14" i="26"/>
  <c r="A13" i="26"/>
  <c r="A3" i="26"/>
  <c r="A4" i="26"/>
  <c r="A5" i="26"/>
  <c r="A6" i="26"/>
  <c r="A7" i="26"/>
  <c r="A8" i="26"/>
  <c r="A9" i="26"/>
  <c r="A10" i="26"/>
  <c r="A11" i="26"/>
  <c r="A12" i="26"/>
  <c r="A2" i="26"/>
  <c r="A4" i="1"/>
  <c r="A2" i="1"/>
  <c r="A3" i="1"/>
  <c r="F19" i="1"/>
  <c r="B2" i="5" l="1"/>
  <c r="C2" i="5" s="1"/>
  <c r="B4" i="5"/>
  <c r="B8" i="5"/>
  <c r="B12" i="5"/>
  <c r="B16" i="5"/>
  <c r="B20" i="5"/>
  <c r="B24" i="5"/>
  <c r="B28" i="5"/>
  <c r="B32" i="5"/>
  <c r="B36" i="5"/>
  <c r="B40" i="5"/>
  <c r="B44" i="5"/>
  <c r="B48" i="5"/>
  <c r="B9" i="5"/>
  <c r="B13" i="5"/>
  <c r="B17" i="5"/>
  <c r="B21" i="5"/>
  <c r="B25" i="5"/>
  <c r="B29" i="5"/>
  <c r="B33" i="5"/>
  <c r="B37" i="5"/>
  <c r="B41" i="5"/>
  <c r="B45" i="5"/>
  <c r="B49" i="5"/>
  <c r="B5" i="5"/>
  <c r="B6" i="5"/>
  <c r="B10" i="5"/>
  <c r="B14" i="5"/>
  <c r="B18" i="5"/>
  <c r="B22" i="5"/>
  <c r="B26" i="5"/>
  <c r="B30" i="5"/>
  <c r="B34" i="5"/>
  <c r="B38" i="5"/>
  <c r="B42" i="5"/>
  <c r="B46" i="5"/>
  <c r="B3" i="5"/>
  <c r="B7" i="5"/>
  <c r="B11" i="5"/>
  <c r="B15" i="5"/>
  <c r="B19" i="5"/>
  <c r="B23" i="5"/>
  <c r="B27" i="5"/>
  <c r="B31" i="5"/>
  <c r="B35" i="5"/>
  <c r="B39" i="5"/>
  <c r="B43" i="5"/>
  <c r="B47" i="5"/>
  <c r="C3" i="5" l="1"/>
  <c r="C4" i="5" s="1"/>
  <c r="C5" i="5" l="1"/>
  <c r="C6" i="5" l="1"/>
  <c r="C7" i="5" l="1"/>
  <c r="C8" i="5" l="1"/>
  <c r="C9" i="5" l="1"/>
  <c r="C10" i="5" l="1"/>
  <c r="C11" i="5" l="1"/>
  <c r="C12" i="5" l="1"/>
  <c r="C13" i="5" l="1"/>
  <c r="C14" i="5" l="1"/>
  <c r="C15" i="5" l="1"/>
  <c r="C16" i="5" l="1"/>
  <c r="C17" i="5" l="1"/>
  <c r="C18" i="5" l="1"/>
  <c r="C19" i="5" l="1"/>
  <c r="C20" i="5" l="1"/>
  <c r="C21" i="5" l="1"/>
  <c r="C22" i="5" l="1"/>
  <c r="C23" i="5" l="1"/>
  <c r="C24" i="5" l="1"/>
  <c r="C25" i="5" l="1"/>
  <c r="C26" i="5" l="1"/>
  <c r="C27" i="5" l="1"/>
  <c r="C28" i="5" l="1"/>
  <c r="C29" i="5" l="1"/>
  <c r="C30" i="5" l="1"/>
  <c r="C31" i="5" l="1"/>
  <c r="C32" i="5" l="1"/>
  <c r="C33" i="5" l="1"/>
  <c r="C34" i="5" l="1"/>
  <c r="C35" i="5" l="1"/>
  <c r="C36" i="5" l="1"/>
  <c r="C37" i="5" l="1"/>
  <c r="C38" i="5" l="1"/>
  <c r="C39" i="5" l="1"/>
  <c r="C40" i="5" l="1"/>
  <c r="C41" i="5" l="1"/>
  <c r="C42" i="5" l="1"/>
  <c r="C43" i="5" l="1"/>
  <c r="C44" i="5" l="1"/>
  <c r="C45" i="5" l="1"/>
  <c r="C46" i="5" l="1"/>
  <c r="C47" i="5" l="1"/>
  <c r="C48" i="5" l="1"/>
  <c r="C49" i="5" l="1"/>
  <c r="D48" i="5" s="1"/>
  <c r="D49" i="5" l="1"/>
  <c r="D3" i="5"/>
  <c r="D2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</calcChain>
</file>

<file path=xl/sharedStrings.xml><?xml version="1.0" encoding="utf-8"?>
<sst xmlns="http://schemas.openxmlformats.org/spreadsheetml/2006/main" count="102" uniqueCount="73">
  <si>
    <t>Date (UTC)</t>
  </si>
  <si>
    <t>Time (UTC)</t>
  </si>
  <si>
    <t>Longitude</t>
  </si>
  <si>
    <t>Latitude</t>
  </si>
  <si>
    <t>Magnitude Range</t>
  </si>
  <si>
    <t>Frequency Count</t>
  </si>
  <si>
    <t>1.2 to 1.3</t>
  </si>
  <si>
    <t>1.3 to 1.4</t>
  </si>
  <si>
    <t>1.4 to 1.5</t>
  </si>
  <si>
    <t>1.5 to 1.6</t>
  </si>
  <si>
    <t>1.6 to 1.7</t>
  </si>
  <si>
    <t>1.7 to 1.8</t>
  </si>
  <si>
    <t>1.8 to 1.9</t>
  </si>
  <si>
    <t>1.9 to 2.0</t>
  </si>
  <si>
    <t>2.0 to 2.1</t>
  </si>
  <si>
    <t>2.1 to 2.2</t>
  </si>
  <si>
    <t>2.2 to 2.3</t>
  </si>
  <si>
    <t>2.3 to 2.4</t>
  </si>
  <si>
    <t>2.4 to 2.5</t>
  </si>
  <si>
    <t>2.5 to 2.6</t>
  </si>
  <si>
    <t>2.6 to 2.7</t>
  </si>
  <si>
    <t>2.7 to 2.8</t>
  </si>
  <si>
    <t>2.8 to 2.9</t>
  </si>
  <si>
    <t>2.9 to 3.0</t>
  </si>
  <si>
    <t>3.0 to 3.1</t>
  </si>
  <si>
    <t>3.1 to 3.2</t>
  </si>
  <si>
    <t>3.2 to 3.3</t>
  </si>
  <si>
    <t>3.3 to 3.4</t>
  </si>
  <si>
    <t>3.4 to 3.5</t>
  </si>
  <si>
    <t>3.5 to 3.6</t>
  </si>
  <si>
    <t>3.6 to 3.7</t>
  </si>
  <si>
    <t>3.7 to 3.8</t>
  </si>
  <si>
    <t>3.8 to 3.9</t>
  </si>
  <si>
    <t>3.9 to 4.0</t>
  </si>
  <si>
    <t>4.0 to 4.1</t>
  </si>
  <si>
    <t>4.1 to 4.2</t>
  </si>
  <si>
    <t>4.2 to 4.3</t>
  </si>
  <si>
    <t>4.3 to 4.4</t>
  </si>
  <si>
    <t>4.4 to 4.5</t>
  </si>
  <si>
    <t>4.5 to 4.6</t>
  </si>
  <si>
    <t>4.6 to 4.7</t>
  </si>
  <si>
    <t>4.7 to 4.8</t>
  </si>
  <si>
    <t>4.8 to 4.9</t>
  </si>
  <si>
    <t>4.9 to 5.0</t>
  </si>
  <si>
    <t>5.0 to 5.1</t>
  </si>
  <si>
    <t>5.1 to 5.2</t>
  </si>
  <si>
    <t>5.2to 5.3</t>
  </si>
  <si>
    <t>5.3 to 5.4</t>
  </si>
  <si>
    <t>5.4 to 5.5</t>
  </si>
  <si>
    <t>5.5 to 5.6</t>
  </si>
  <si>
    <t>5.6 to 5.7</t>
  </si>
  <si>
    <t>5.7 to 5.8</t>
  </si>
  <si>
    <t>5.8 to 5.9</t>
  </si>
  <si>
    <t>5.9 to 6.0</t>
  </si>
  <si>
    <t>Location</t>
  </si>
  <si>
    <t>Assigned Magnitude
(ML)</t>
  </si>
  <si>
    <t>2025-12-31</t>
  </si>
  <si>
    <t>2024-06-28</t>
  </si>
  <si>
    <t>21:33</t>
  </si>
  <si>
    <t>21:30</t>
  </si>
  <si>
    <t>21:27</t>
  </si>
  <si>
    <t>21:28</t>
  </si>
  <si>
    <t>21:29</t>
  </si>
  <si>
    <t>21:31</t>
  </si>
  <si>
    <t>21:32</t>
  </si>
  <si>
    <t>21:36</t>
  </si>
  <si>
    <t>21:38</t>
  </si>
  <si>
    <t>21:40</t>
  </si>
  <si>
    <t>21:41</t>
  </si>
  <si>
    <t>21:42</t>
  </si>
  <si>
    <t>21:45</t>
  </si>
  <si>
    <t>21:46</t>
  </si>
  <si>
    <t>21:48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</si>
</sst>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"/>
  </numFmts>
  <fonts count="1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37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8" borderId="0" applyNumberFormat="0" applyBorder="0" applyAlignment="0" applyProtection="0"/>
  </cellStyleXfs>
  <cellXfs count="28">
    <xf numFmtId="0" fontId="0" fillId="0" borderId="0" xfId="0"/>
    <xf numFmtId="49" fontId="0" fillId="0" borderId="0" xfId="0" applyNumberFormat="1"/>
    <xf numFmtId="165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165" fontId="0" fillId="0" borderId="2" xfId="0" applyNumberFormat="1" applyBorder="1"/>
    <xf numFmtId="10" fontId="0" fillId="0" borderId="0" xfId="0" applyNumberFormat="1"/>
    <xf numFmtId="49" fontId="0" fillId="0" borderId="2" xfId="0" applyNumberFormat="1" applyBorder="1"/>
    <xf numFmtId="49" fontId="8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8" fillId="0" borderId="2" xfId="0" applyNumberFormat="1" applyFont="1" applyBorder="1" applyAlignment="1">
      <alignment horizontal="center" vertical="center" wrapText="1"/>
    </xf>
    <xf numFmtId="49" fontId="0" fillId="0" borderId="2" xfId="0" quotePrefix="1" applyNumberFormat="1" applyBorder="1"/>
    <xf numFmtId="2" fontId="0" fillId="0" borderId="2" xfId="0" applyNumberFormat="1" applyBorder="1"/>
    <xf numFmtId="165" fontId="8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0" fillId="0" borderId="0" xfId="0" quotePrefix="1" applyNumberFormat="1"/>
    <xf numFmtId="2" fontId="0" fillId="0" borderId="0" xfId="0" applyNumberFormat="1"/>
    <xf numFmtId="166" fontId="8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/>
    <xf numFmtId="166" fontId="0" fillId="0" borderId="0" xfId="0" applyNumberFormat="1"/>
    <xf numFmtId="166" fontId="0" fillId="0" borderId="0" xfId="0" quotePrefix="1" applyNumberFormat="1"/>
    <xf numFmtId="166" fontId="0" fillId="9" borderId="2" xfId="0" applyNumberFormat="1" applyFill="1" applyBorder="1"/>
    <xf numFmtId="49" fontId="0" fillId="9" borderId="2" xfId="0" quotePrefix="1" applyNumberFormat="1" applyFill="1" applyBorder="1"/>
    <xf numFmtId="49" fontId="0" fillId="9" borderId="2" xfId="0" applyNumberFormat="1" applyFill="1" applyBorder="1"/>
    <xf numFmtId="165" fontId="0" fillId="9" borderId="2" xfId="0" applyNumberFormat="1" applyFill="1" applyBorder="1"/>
    <xf numFmtId="164" fontId="0" fillId="9" borderId="2" xfId="0" applyNumberFormat="1" applyFill="1" applyBorder="1" applyAlignment="1">
      <alignment horizontal="right"/>
    </xf>
  </cellXfs>
  <cellStyles count="17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builtinId="27" customBuiltin="1"/>
    <cellStyle name="Error" xfId="12" xr:uid="{00000000-0005-0000-0000-000005000000}"/>
    <cellStyle name="Footnote" xfId="6" xr:uid="{00000000-0005-0000-0000-000006000000}"/>
    <cellStyle name="Good" xfId="8" builtinId="26" customBuiltin="1"/>
    <cellStyle name="Heading" xfId="1" xr:uid="{00000000-0005-0000-0000-000008000000}"/>
    <cellStyle name="Heading 1" xfId="2" builtinId="16" customBuiltin="1"/>
    <cellStyle name="Heading 2" xfId="3" builtinId="17" customBuiltin="1"/>
    <cellStyle name="Neutral" xfId="9" builtinId="28" customBuiltin="1"/>
    <cellStyle name="Normal" xfId="0" builtinId="0"/>
    <cellStyle name="Note" xfId="5" builtinId="10" customBuiltin="1"/>
    <cellStyle name="Status" xfId="7" xr:uid="{00000000-0005-0000-0000-00000E000000}"/>
    <cellStyle name="Text" xfId="4" xr:uid="{00000000-0005-0000-0000-00000F000000}"/>
    <cellStyle name="Warning" xfId="11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7E0021"/>
      <rgbColor rgb="00006600"/>
      <rgbColor rgb="00000080"/>
      <rgbColor rgb="00996600"/>
      <rgbColor rgb="00800080"/>
      <rgbColor rgb="00008080"/>
      <rgbColor rgb="00B3B3B3"/>
      <rgbColor rgb="00808080"/>
      <rgbColor rgb="009999FF"/>
      <rgbColor rgb="00CE181E"/>
      <rgbColor rgb="00FFFFCC"/>
      <rgbColor rgb="00CCFFFF"/>
      <rgbColor rgb="00660066"/>
      <rgbColor rgb="00FF8080"/>
      <rgbColor rgb="000084D1"/>
      <rgbColor rgb="00DDDDDD"/>
      <rgbColor rgb="00000080"/>
      <rgbColor rgb="00FF00FF"/>
      <rgbColor rgb="00FFFF00"/>
      <rgbColor rgb="0000FFFF"/>
      <rgbColor rgb="00800080"/>
      <rgbColor rgb="00C5000B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CC"/>
      <rgbColor rgb="003366FF"/>
      <rgbColor rgb="0033CCCC"/>
      <rgbColor rgb="00AECF00"/>
      <rgbColor rgb="00FFD320"/>
      <rgbColor rgb="00FF950E"/>
      <rgbColor rgb="00FF420E"/>
      <rgbColor rgb="00666666"/>
      <rgbColor rgb="00969696"/>
      <rgbColor rgb="00004586"/>
      <rgbColor rgb="00579D1C"/>
      <rgbColor rgb="00111111"/>
      <rgbColor rgb="00314004"/>
      <rgbColor rgb="00BA131A"/>
      <rgbColor rgb="00993366"/>
      <rgbColor rgb="004B1F6F"/>
      <rgbColor rgb="00333333"/>
    </indexed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2024-06-28 Yarrol Block Time Line of EarthquakeEvents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Located</c:v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Located!$A$2:$A$16</c:f>
              <c:numCache>
                <c:formatCode>0.00000</c:formatCode>
                <c:ptCount val="15"/>
                <c:pt idx="0">
                  <c:v>-2.0833333333333259E-3</c:v>
                </c:pt>
                <c:pt idx="1">
                  <c:v>0</c:v>
                </c:pt>
                <c:pt idx="2">
                  <c:v>3.4722222222222099E-3</c:v>
                </c:pt>
              </c:numCache>
            </c:numRef>
          </c:xVal>
          <c:yVal>
            <c:numRef>
              <c:f>Located!$F$2:$F$16</c:f>
              <c:numCache>
                <c:formatCode>0.0</c:formatCode>
                <c:ptCount val="15"/>
                <c:pt idx="0">
                  <c:v>1.7</c:v>
                </c:pt>
                <c:pt idx="1">
                  <c:v>2.1</c:v>
                </c:pt>
                <c:pt idx="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D49-B19F-B4AAB9DB20D8}"/>
            </c:ext>
          </c:extLst>
        </c:ser>
        <c:ser>
          <c:idx val="1"/>
          <c:order val="1"/>
          <c:tx>
            <c:v>Unlocated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70C0"/>
              </a:solidFill>
              <a:ln w="9525">
                <a:solidFill>
                  <a:schemeClr val="accent2"/>
                </a:solidFill>
              </a:ln>
            </c:spPr>
          </c:marker>
          <c:xVal>
            <c:numRef>
              <c:f>Unlocated!$A$2:$A$47</c:f>
              <c:numCache>
                <c:formatCode>0.00000</c:formatCode>
                <c:ptCount val="46"/>
                <c:pt idx="0">
                  <c:v>-4.1666666666666519E-3</c:v>
                </c:pt>
                <c:pt idx="1">
                  <c:v>-3.4722222222222099E-3</c:v>
                </c:pt>
                <c:pt idx="2">
                  <c:v>-2.7777777777777679E-3</c:v>
                </c:pt>
                <c:pt idx="3">
                  <c:v>-2.7777777777777679E-3</c:v>
                </c:pt>
                <c:pt idx="4">
                  <c:v>-1.388888888888884E-3</c:v>
                </c:pt>
                <c:pt idx="5">
                  <c:v>-6.9444444444444198E-4</c:v>
                </c:pt>
                <c:pt idx="6">
                  <c:v>-6.9444444444444198E-4</c:v>
                </c:pt>
                <c:pt idx="7">
                  <c:v>0</c:v>
                </c:pt>
                <c:pt idx="8">
                  <c:v>2.0833333333333259E-3</c:v>
                </c:pt>
                <c:pt idx="9">
                  <c:v>2.0833333333333259E-3</c:v>
                </c:pt>
                <c:pt idx="10">
                  <c:v>4.8611111111110938E-3</c:v>
                </c:pt>
                <c:pt idx="11">
                  <c:v>5.5555555555555358E-3</c:v>
                </c:pt>
                <c:pt idx="12">
                  <c:v>5.5555555555555358E-3</c:v>
                </c:pt>
                <c:pt idx="13">
                  <c:v>6.2499999999999778E-3</c:v>
                </c:pt>
                <c:pt idx="14">
                  <c:v>8.3333333333333037E-3</c:v>
                </c:pt>
                <c:pt idx="15">
                  <c:v>9.0277777777777457E-3</c:v>
                </c:pt>
                <c:pt idx="16">
                  <c:v>1.041666666666663E-2</c:v>
                </c:pt>
              </c:numCache>
            </c:numRef>
          </c:xVal>
          <c:yVal>
            <c:numRef>
              <c:f>Unlocated!$D$2:$D$47</c:f>
              <c:numCache>
                <c:formatCode>0.0</c:formatCode>
                <c:ptCount val="46"/>
                <c:pt idx="0">
                  <c:v>0</c:v>
                </c:pt>
                <c:pt idx="1">
                  <c:v>0.5</c:v>
                </c:pt>
                <c:pt idx="2">
                  <c:v>1.4</c:v>
                </c:pt>
                <c:pt idx="3">
                  <c:v>1.1000000000000001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0.8</c:v>
                </c:pt>
                <c:pt idx="8">
                  <c:v>0.8</c:v>
                </c:pt>
                <c:pt idx="9">
                  <c:v>1.3</c:v>
                </c:pt>
                <c:pt idx="10">
                  <c:v>-0.1</c:v>
                </c:pt>
                <c:pt idx="11">
                  <c:v>-0.2</c:v>
                </c:pt>
                <c:pt idx="12">
                  <c:v>-0.1</c:v>
                </c:pt>
                <c:pt idx="13">
                  <c:v>0</c:v>
                </c:pt>
                <c:pt idx="14">
                  <c:v>-0.3</c:v>
                </c:pt>
                <c:pt idx="15">
                  <c:v>0.4</c:v>
                </c:pt>
                <c:pt idx="16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9F-4D49-B19F-B4AAB9DB2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27328"/>
        <c:axId val="167829888"/>
      </c:scatterChart>
      <c:valAx>
        <c:axId val="167827328"/>
        <c:scaling>
          <c:orientation val="minMax"/>
          <c:max val="1.1000000000000003E-2"/>
          <c:min val="-5.000000000000001E-3"/>
        </c:scaling>
        <c:delete val="0"/>
        <c:axPos val="b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/>
                  <a:t>24</a:t>
                </a:r>
                <a:r>
                  <a:rPr lang="en-US" sz="1600" baseline="0"/>
                  <a:t> Hour</a:t>
                </a:r>
                <a:r>
                  <a:rPr lang="en-US" sz="1600"/>
                  <a:t> fraction</a:t>
                </a:r>
                <a:r>
                  <a:rPr lang="en-US" sz="1600" baseline="0"/>
                  <a:t> before and </a:t>
                </a:r>
                <a:r>
                  <a:rPr lang="en-US" sz="1600"/>
                  <a:t>after the largest trigger event</a:t>
                </a:r>
              </a:p>
            </c:rich>
          </c:tx>
          <c:layout>
            <c:manualLayout>
              <c:xMode val="edge"/>
              <c:yMode val="edge"/>
              <c:x val="0.28114876837124114"/>
              <c:y val="0.95246464646464646"/>
            </c:manualLayout>
          </c:layout>
          <c:overlay val="0"/>
        </c:title>
        <c:numFmt formatCode="0.000" sourceLinked="0"/>
        <c:majorTickMark val="out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-5400000" vert="horz" anchor="t" anchorCtr="0"/>
          <a:lstStyle/>
          <a:p>
            <a:pPr>
              <a:defRPr/>
            </a:pPr>
            <a:endParaRPr lang="en-US"/>
          </a:p>
        </c:txPr>
        <c:crossAx val="167829888"/>
        <c:crossesAt val="-1"/>
        <c:crossBetween val="midCat"/>
        <c:majorUnit val="1.0000000000000002E-3"/>
        <c:minorUnit val="2.0000000000000006E-4"/>
      </c:valAx>
      <c:valAx>
        <c:axId val="167829888"/>
        <c:scaling>
          <c:orientation val="minMax"/>
          <c:min val="-1"/>
        </c:scaling>
        <c:delete val="0"/>
        <c:axPos val="l"/>
        <c:majorGridlines/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600"/>
                  <a:t>Magnitude (ML)</a:t>
                </a:r>
              </a:p>
              <a:p>
                <a:pPr>
                  <a:defRPr/>
                </a:pPr>
                <a:endParaRPr lang="en-AU" sz="1600"/>
              </a:p>
              <a:p>
                <a:pPr>
                  <a:defRPr/>
                </a:pPr>
                <a:endParaRPr lang="en-AU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67827328"/>
        <c:crossesAt val="-1.5000000000000003E-2"/>
        <c:crossBetween val="midCat"/>
      </c:valAx>
      <c:spPr>
        <a:solidFill>
          <a:schemeClr val="bg1">
            <a:lumMod val="95000"/>
            <a:alpha val="20000"/>
          </a:schemeClr>
        </a:solidFill>
      </c:spPr>
    </c:plotArea>
    <c:legend>
      <c:legendPos val="r"/>
      <c:layout>
        <c:manualLayout>
          <c:xMode val="edge"/>
          <c:yMode val="edge"/>
          <c:x val="0.84207897655584407"/>
          <c:y val="3.1508788674143003E-3"/>
          <c:w val="8.0361645368099477E-2"/>
          <c:h val="7.5660725463710346E-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Magnitude Frequency Range Count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'Magnitude Frequency Data'!$B$1</c:f>
              <c:strCache>
                <c:ptCount val="1"/>
                <c:pt idx="0">
                  <c:v>Frequency Count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'Magnitude Frequency Data'!$A$2:$A$49</c:f>
              <c:strCache>
                <c:ptCount val="48"/>
                <c:pt idx="0">
                  <c:v>1.2 to 1.3</c:v>
                </c:pt>
                <c:pt idx="1">
                  <c:v>1.3 to 1.4</c:v>
                </c:pt>
                <c:pt idx="2">
                  <c:v>1.4 to 1.5</c:v>
                </c:pt>
                <c:pt idx="3">
                  <c:v>1.5 to 1.6</c:v>
                </c:pt>
                <c:pt idx="4">
                  <c:v>1.6 to 1.7</c:v>
                </c:pt>
                <c:pt idx="5">
                  <c:v>1.7 to 1.8</c:v>
                </c:pt>
                <c:pt idx="6">
                  <c:v>1.8 to 1.9</c:v>
                </c:pt>
                <c:pt idx="7">
                  <c:v>1.9 to 2.0</c:v>
                </c:pt>
                <c:pt idx="8">
                  <c:v>2.0 to 2.1</c:v>
                </c:pt>
                <c:pt idx="9">
                  <c:v>2.1 to 2.2</c:v>
                </c:pt>
                <c:pt idx="10">
                  <c:v>2.2 to 2.3</c:v>
                </c:pt>
                <c:pt idx="11">
                  <c:v>2.3 to 2.4</c:v>
                </c:pt>
                <c:pt idx="12">
                  <c:v>2.4 to 2.5</c:v>
                </c:pt>
                <c:pt idx="13">
                  <c:v>2.5 to 2.6</c:v>
                </c:pt>
                <c:pt idx="14">
                  <c:v>2.6 to 2.7</c:v>
                </c:pt>
                <c:pt idx="15">
                  <c:v>2.7 to 2.8</c:v>
                </c:pt>
                <c:pt idx="16">
                  <c:v>2.8 to 2.9</c:v>
                </c:pt>
                <c:pt idx="17">
                  <c:v>2.9 to 3.0</c:v>
                </c:pt>
                <c:pt idx="18">
                  <c:v>3.0 to 3.1</c:v>
                </c:pt>
                <c:pt idx="19">
                  <c:v>3.1 to 3.2</c:v>
                </c:pt>
                <c:pt idx="20">
                  <c:v>3.2 to 3.3</c:v>
                </c:pt>
                <c:pt idx="21">
                  <c:v>3.3 to 3.4</c:v>
                </c:pt>
                <c:pt idx="22">
                  <c:v>3.4 to 3.5</c:v>
                </c:pt>
                <c:pt idx="23">
                  <c:v>3.5 to 3.6</c:v>
                </c:pt>
                <c:pt idx="24">
                  <c:v>3.6 to 3.7</c:v>
                </c:pt>
                <c:pt idx="25">
                  <c:v>3.7 to 3.8</c:v>
                </c:pt>
                <c:pt idx="26">
                  <c:v>3.8 to 3.9</c:v>
                </c:pt>
                <c:pt idx="27">
                  <c:v>3.9 to 4.0</c:v>
                </c:pt>
                <c:pt idx="28">
                  <c:v>4.0 to 4.1</c:v>
                </c:pt>
                <c:pt idx="29">
                  <c:v>4.1 to 4.2</c:v>
                </c:pt>
                <c:pt idx="30">
                  <c:v>4.2 to 4.3</c:v>
                </c:pt>
                <c:pt idx="31">
                  <c:v>4.3 to 4.4</c:v>
                </c:pt>
                <c:pt idx="32">
                  <c:v>4.4 to 4.5</c:v>
                </c:pt>
                <c:pt idx="33">
                  <c:v>4.5 to 4.6</c:v>
                </c:pt>
                <c:pt idx="34">
                  <c:v>4.6 to 4.7</c:v>
                </c:pt>
                <c:pt idx="35">
                  <c:v>4.7 to 4.8</c:v>
                </c:pt>
                <c:pt idx="36">
                  <c:v>4.8 to 4.9</c:v>
                </c:pt>
                <c:pt idx="37">
                  <c:v>4.9 to 5.0</c:v>
                </c:pt>
                <c:pt idx="38">
                  <c:v>5.0 to 5.1</c:v>
                </c:pt>
                <c:pt idx="39">
                  <c:v>5.1 to 5.2</c:v>
                </c:pt>
                <c:pt idx="40">
                  <c:v>5.2to 5.3</c:v>
                </c:pt>
                <c:pt idx="41">
                  <c:v>5.3 to 5.4</c:v>
                </c:pt>
                <c:pt idx="42">
                  <c:v>5.4 to 5.5</c:v>
                </c:pt>
                <c:pt idx="43">
                  <c:v>5.5 to 5.6</c:v>
                </c:pt>
                <c:pt idx="44">
                  <c:v>5.6 to 5.7</c:v>
                </c:pt>
                <c:pt idx="45">
                  <c:v>5.7 to 5.8</c:v>
                </c:pt>
                <c:pt idx="46">
                  <c:v>5.8 to 5.9</c:v>
                </c:pt>
                <c:pt idx="47">
                  <c:v>5.9 to 6.0</c:v>
                </c:pt>
              </c:strCache>
            </c:strRef>
          </c:cat>
          <c:val>
            <c:numRef>
              <c:f>'Magnitude Frequency Data'!$B$2:$B$49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8-4659-A05F-65F1E9E788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212096"/>
        <c:axId val="204222464"/>
      </c:barChart>
      <c:catAx>
        <c:axId val="20421209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Magnitude Range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04222464"/>
        <c:crosses val="autoZero"/>
        <c:auto val="1"/>
        <c:lblAlgn val="ctr"/>
        <c:lblOffset val="100"/>
        <c:noMultiLvlLbl val="0"/>
      </c:catAx>
      <c:valAx>
        <c:axId val="204222464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Frequency Count</a:t>
                </a:r>
              </a:p>
              <a:p>
                <a:pPr>
                  <a:defRPr/>
                </a:pPr>
                <a:endParaRPr lang="en-AU"/>
              </a:p>
            </c:rich>
          </c:tx>
          <c:layout>
            <c:manualLayout>
              <c:xMode val="edge"/>
              <c:yMode val="edge"/>
              <c:x val="1.1813665764419437E-2"/>
              <c:y val="0.411505805541620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421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tabSelected="1"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879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0.74293</cdr:x>
      <cdr:y>0.16815</cdr:y>
    </cdr:from>
    <cdr:to>
      <cdr:x>0.83943</cdr:x>
      <cdr:y>0.88917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915305" y="1022195"/>
          <a:ext cx="898293" cy="4383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0.22303</cdr:x>
      <cdr:y>0.08856</cdr:y>
    </cdr:from>
    <cdr:to>
      <cdr:x>0.84328</cdr:x>
      <cdr:y>0.10701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2073088" y="537882"/>
          <a:ext cx="5765427" cy="112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0.74293</cdr:x>
      <cdr:y>0.16815</cdr:y>
    </cdr:from>
    <cdr:to>
      <cdr:x>0.83943</cdr:x>
      <cdr:y>0.88917</cdr:y>
    </cdr:to>
    <cdr:sp macro="" textlink="">
      <cdr:nvSpPr>
        <cdr:cNvPr id="42" name="TextBox 11"/>
        <cdr:cNvSpPr txBox="1"/>
      </cdr:nvSpPr>
      <cdr:spPr>
        <a:xfrm xmlns:a="http://schemas.openxmlformats.org/drawingml/2006/main">
          <a:off x="6915305" y="1022195"/>
          <a:ext cx="898293" cy="4383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0.37913</cdr:x>
      <cdr:y>0.07743</cdr:y>
    </cdr:from>
    <cdr:to>
      <cdr:x>0.43216</cdr:x>
      <cdr:y>0.15355</cdr:y>
    </cdr:to>
    <cdr:sp macro="" textlink="">
      <cdr:nvSpPr>
        <cdr:cNvPr id="50" name="TextBox 1"/>
        <cdr:cNvSpPr txBox="1"/>
      </cdr:nvSpPr>
      <cdr:spPr>
        <a:xfrm xmlns:a="http://schemas.openxmlformats.org/drawingml/2006/main">
          <a:off x="3284600" y="486770"/>
          <a:ext cx="459431" cy="478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="vert270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100"/>
            <a:t>Trigger Events</a:t>
          </a:r>
        </a:p>
      </cdr:txBody>
    </cdr:sp>
  </cdr:relSizeAnchor>
  <cdr:relSizeAnchor xmlns:cdr="http://schemas.openxmlformats.org/drawingml/2006/chartDrawing">
    <cdr:from>
      <cdr:x>0.22303</cdr:x>
      <cdr:y>0.08856</cdr:y>
    </cdr:from>
    <cdr:to>
      <cdr:x>0.84328</cdr:x>
      <cdr:y>0.10701</cdr:y>
    </cdr:to>
    <cdr:sp macro="" textlink="">
      <cdr:nvSpPr>
        <cdr:cNvPr id="55" name="TextBox 16"/>
        <cdr:cNvSpPr txBox="1"/>
      </cdr:nvSpPr>
      <cdr:spPr>
        <a:xfrm xmlns:a="http://schemas.openxmlformats.org/drawingml/2006/main">
          <a:off x="2073088" y="537882"/>
          <a:ext cx="5765427" cy="112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0.39932</cdr:x>
      <cdr:y>0.1805</cdr:y>
    </cdr:from>
    <cdr:to>
      <cdr:x>0.39932</cdr:x>
      <cdr:y>0.89065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124F94A-5398-2F69-3486-50DE767253FE}"/>
            </a:ext>
          </a:extLst>
        </cdr:cNvPr>
        <cdr:cNvCxnSpPr/>
      </cdr:nvCxnSpPr>
      <cdr:spPr bwMode="auto">
        <a:xfrm xmlns:a="http://schemas.openxmlformats.org/drawingml/2006/main">
          <a:off x="3459582" y="1134717"/>
          <a:ext cx="0" cy="4464326"/>
        </a:xfrm>
        <a:prstGeom xmlns:a="http://schemas.openxmlformats.org/drawingml/2006/main" prst="lin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rgbClr val="EE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0.2323</cdr:x>
      <cdr:y>0.15396</cdr:y>
    </cdr:from>
    <cdr:to>
      <cdr:x>0.63483</cdr:x>
      <cdr:y>0.31036</cdr:y>
    </cdr:to>
    <cdr:sp macro="" textlink="">
      <cdr:nvSpPr>
        <cdr:cNvPr id="5" name="Oval 4">
          <a:extLst xmlns:a="http://schemas.openxmlformats.org/drawingml/2006/main">
            <a:ext uri="{FF2B5EF4-FFF2-40B4-BE49-F238E27FC236}">
              <a16:creationId xmlns:a16="http://schemas.microsoft.com/office/drawing/2014/main" id="{95A1FD01-3191-2BBB-BABC-5A08820A539F}"/>
            </a:ext>
          </a:extLst>
        </cdr:cNvPr>
        <cdr:cNvSpPr/>
      </cdr:nvSpPr>
      <cdr:spPr bwMode="auto">
        <a:xfrm xmlns:a="http://schemas.openxmlformats.org/drawingml/2006/main">
          <a:off x="2012541" y="967863"/>
          <a:ext cx="3487379" cy="98322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AU" kern="1200"/>
        </a:p>
      </cdr:txBody>
    </cdr:sp>
  </cdr:relSizeAnchor>
  <cdr:relSizeAnchor xmlns:cdr="http://schemas.openxmlformats.org/drawingml/2006/chartDrawing">
    <cdr:from>
      <cdr:x>0.41849</cdr:x>
      <cdr:y>0.48876</cdr:y>
    </cdr:from>
    <cdr:to>
      <cdr:x>0.62596</cdr:x>
      <cdr:y>0.56452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0FE203A8-926A-631A-C9F5-EEAA4018936A}"/>
            </a:ext>
          </a:extLst>
        </cdr:cNvPr>
        <cdr:cNvSpPr txBox="1"/>
      </cdr:nvSpPr>
      <cdr:spPr>
        <a:xfrm xmlns:a="http://schemas.openxmlformats.org/drawingml/2006/main">
          <a:off x="3625644" y="3072581"/>
          <a:ext cx="1797459" cy="4762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2800" kern="1200"/>
            <a:t>21 Minutes</a:t>
          </a:r>
        </a:p>
      </cdr:txBody>
    </cdr:sp>
  </cdr:relSizeAnchor>
  <cdr:relSizeAnchor xmlns:cdr="http://schemas.openxmlformats.org/drawingml/2006/chartDrawing">
    <cdr:from>
      <cdr:x>0.6366</cdr:x>
      <cdr:y>0.5132</cdr:y>
    </cdr:from>
    <cdr:to>
      <cdr:x>0.95402</cdr:x>
      <cdr:y>0.5132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6BA76D92-4559-6202-4C9D-F1DFAB206A83}"/>
            </a:ext>
          </a:extLst>
        </cdr:cNvPr>
        <cdr:cNvCxnSpPr/>
      </cdr:nvCxnSpPr>
      <cdr:spPr bwMode="auto">
        <a:xfrm xmlns:a="http://schemas.openxmlformats.org/drawingml/2006/main">
          <a:off x="5515282" y="3226210"/>
          <a:ext cx="2749960" cy="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0.17378</cdr:x>
      <cdr:y>0.51075</cdr:y>
    </cdr:from>
    <cdr:to>
      <cdr:x>0.40785</cdr:x>
      <cdr:y>0.51075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925C38C1-431E-F353-D5CC-D346CF382526}"/>
            </a:ext>
          </a:extLst>
        </cdr:cNvPr>
        <cdr:cNvCxnSpPr/>
      </cdr:nvCxnSpPr>
      <cdr:spPr bwMode="auto">
        <a:xfrm xmlns:a="http://schemas.openxmlformats.org/drawingml/2006/main" flipH="1">
          <a:off x="1505565" y="3210847"/>
          <a:ext cx="2027903" cy="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0.1616</cdr:x>
      <cdr:y>0.30395</cdr:y>
    </cdr:from>
    <cdr:to>
      <cdr:x>0.26493</cdr:x>
      <cdr:y>0.67746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ED64E04F-596A-F991-7D50-BAECD03B017B}"/>
            </a:ext>
          </a:extLst>
        </cdr:cNvPr>
        <cdr:cNvCxnSpPr/>
      </cdr:nvCxnSpPr>
      <cdr:spPr bwMode="auto">
        <a:xfrm xmlns:a="http://schemas.openxmlformats.org/drawingml/2006/main" flipV="1">
          <a:off x="1400175" y="1914525"/>
          <a:ext cx="895350" cy="2352675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19050" cap="flat" cmpd="sng" algn="ctr">
          <a:solidFill>
            <a:srgbClr val="00B05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0.66067</cdr:x>
      <cdr:y>0.30395</cdr:y>
    </cdr:from>
    <cdr:to>
      <cdr:x>0.96957</cdr:x>
      <cdr:y>0.70468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013F27DF-E576-AA75-2E1E-86490A93694E}"/>
            </a:ext>
          </a:extLst>
        </cdr:cNvPr>
        <cdr:cNvCxnSpPr/>
      </cdr:nvCxnSpPr>
      <cdr:spPr bwMode="auto">
        <a:xfrm xmlns:a="http://schemas.openxmlformats.org/drawingml/2006/main" flipV="1">
          <a:off x="5724525" y="1914525"/>
          <a:ext cx="2676525" cy="2524125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triangle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0.1572</cdr:x>
      <cdr:y>0.29639</cdr:y>
    </cdr:from>
    <cdr:to>
      <cdr:x>0.27812</cdr:x>
      <cdr:y>0.75122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500BCABB-EB53-7656-4F4C-E2EB2D42AF34}"/>
            </a:ext>
          </a:extLst>
        </cdr:cNvPr>
        <cdr:cNvSpPr/>
      </cdr:nvSpPr>
      <cdr:spPr bwMode="auto">
        <a:xfrm xmlns:a="http://schemas.openxmlformats.org/drawingml/2006/main">
          <a:off x="1362075" y="1866900"/>
          <a:ext cx="1047750" cy="2864874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>
            <a:alpha val="10000"/>
          </a:srgbClr>
        </a:solidFill>
        <a:ln xmlns:a="http://schemas.openxmlformats.org/drawingml/2006/main" w="1587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 xmlns:a="http://schemas.openxmlformats.org/drawingml/2006/main"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AU" kern="1200"/>
        </a:p>
      </cdr:txBody>
    </cdr:sp>
  </cdr:relSizeAnchor>
  <cdr:relSizeAnchor xmlns:cdr="http://schemas.openxmlformats.org/drawingml/2006/chartDrawing">
    <cdr:from>
      <cdr:x>0.27922</cdr:x>
      <cdr:y>0.16634</cdr:y>
    </cdr:from>
    <cdr:to>
      <cdr:x>0.59691</cdr:x>
      <cdr:y>0.75122</cdr:y>
    </cdr:to>
    <cdr:sp macro="" textlink="">
      <cdr:nvSpPr>
        <cdr:cNvPr id="13" name="Rectangle 12">
          <a:extLst xmlns:a="http://schemas.openxmlformats.org/drawingml/2006/main">
            <a:ext uri="{FF2B5EF4-FFF2-40B4-BE49-F238E27FC236}">
              <a16:creationId xmlns:a16="http://schemas.microsoft.com/office/drawing/2014/main" id="{CF76541F-3B17-7A62-6EC4-2359AD106C4A}"/>
            </a:ext>
          </a:extLst>
        </cdr:cNvPr>
        <cdr:cNvSpPr/>
      </cdr:nvSpPr>
      <cdr:spPr bwMode="auto">
        <a:xfrm xmlns:a="http://schemas.openxmlformats.org/drawingml/2006/main">
          <a:off x="2419350" y="1047750"/>
          <a:ext cx="2752725" cy="3684024"/>
        </a:xfrm>
        <a:prstGeom xmlns:a="http://schemas.openxmlformats.org/drawingml/2006/main" prst="rect">
          <a:avLst/>
        </a:prstGeom>
        <a:solidFill xmlns:a="http://schemas.openxmlformats.org/drawingml/2006/main">
          <a:srgbClr val="EE0000">
            <a:alpha val="10000"/>
          </a:srgbClr>
        </a:solidFill>
        <a:ln xmlns:a="http://schemas.openxmlformats.org/drawingml/2006/main" w="15875" cap="flat" cmpd="sng" algn="ctr">
          <a:solidFill>
            <a:srgbClr val="EE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 xmlns:a="http://schemas.openxmlformats.org/drawingml/2006/main"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AU" kern="1200"/>
        </a:p>
      </cdr:txBody>
    </cdr:sp>
  </cdr:relSizeAnchor>
  <cdr:relSizeAnchor xmlns:cdr="http://schemas.openxmlformats.org/drawingml/2006/chartDrawing">
    <cdr:from>
      <cdr:x>0.59929</cdr:x>
      <cdr:y>0.29337</cdr:y>
    </cdr:from>
    <cdr:to>
      <cdr:x>0.97727</cdr:x>
      <cdr:y>0.75005</cdr:y>
    </cdr:to>
    <cdr:sp macro="" textlink="">
      <cdr:nvSpPr>
        <cdr:cNvPr id="14" name="Rectangle 13">
          <a:extLst xmlns:a="http://schemas.openxmlformats.org/drawingml/2006/main">
            <a:ext uri="{FF2B5EF4-FFF2-40B4-BE49-F238E27FC236}">
              <a16:creationId xmlns:a16="http://schemas.microsoft.com/office/drawing/2014/main" id="{17ED0040-0264-3506-4D3A-B3BDF8CCA201}"/>
            </a:ext>
          </a:extLst>
        </cdr:cNvPr>
        <cdr:cNvSpPr/>
      </cdr:nvSpPr>
      <cdr:spPr bwMode="auto">
        <a:xfrm xmlns:a="http://schemas.openxmlformats.org/drawingml/2006/main">
          <a:off x="5192662" y="1847850"/>
          <a:ext cx="3275064" cy="2876550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>
            <a:alpha val="10000"/>
          </a:srgbClr>
        </a:solidFill>
        <a:ln xmlns:a="http://schemas.openxmlformats.org/drawingml/2006/main" w="1587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 xmlns:a="http://schemas.openxmlformats.org/drawingml/2006/main"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AU" kern="1200"/>
        </a:p>
      </cdr:txBody>
    </cdr:sp>
  </cdr:relSizeAnchor>
  <cdr:relSizeAnchor xmlns:cdr="http://schemas.openxmlformats.org/drawingml/2006/chartDrawing">
    <cdr:from>
      <cdr:x>0.1495</cdr:x>
      <cdr:y>0.32059</cdr:y>
    </cdr:from>
    <cdr:to>
      <cdr:x>0.25504</cdr:x>
      <cdr:y>0.37502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0EDD9E39-3B47-4CB0-5B20-8715DA0D1AD9}"/>
            </a:ext>
          </a:extLst>
        </cdr:cNvPr>
        <cdr:cNvSpPr txBox="1"/>
      </cdr:nvSpPr>
      <cdr:spPr>
        <a:xfrm xmlns:a="http://schemas.openxmlformats.org/drawingml/2006/main">
          <a:off x="1295400" y="2019300"/>
          <a:ext cx="9144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600" kern="1200"/>
            <a:t>Initiation</a:t>
          </a:r>
        </a:p>
      </cdr:txBody>
    </cdr:sp>
  </cdr:relSizeAnchor>
  <cdr:relSizeAnchor xmlns:cdr="http://schemas.openxmlformats.org/drawingml/2006/chartDrawing">
    <cdr:from>
      <cdr:x>0.39465</cdr:x>
      <cdr:y>0.34024</cdr:y>
    </cdr:from>
    <cdr:to>
      <cdr:x>0.50018</cdr:x>
      <cdr:y>0.3962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E9B0B39F-85ED-634C-4C86-31B6C784D1F8}"/>
            </a:ext>
          </a:extLst>
        </cdr:cNvPr>
        <cdr:cNvSpPr txBox="1"/>
      </cdr:nvSpPr>
      <cdr:spPr>
        <a:xfrm xmlns:a="http://schemas.openxmlformats.org/drawingml/2006/main">
          <a:off x="3419475" y="2143125"/>
          <a:ext cx="9144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600" kern="1200"/>
            <a:t>Rupture</a:t>
          </a:r>
        </a:p>
      </cdr:txBody>
    </cdr:sp>
  </cdr:relSizeAnchor>
  <cdr:relSizeAnchor xmlns:cdr="http://schemas.openxmlformats.org/drawingml/2006/chartDrawing">
    <cdr:from>
      <cdr:x>0.68266</cdr:x>
      <cdr:y>0.39922</cdr:y>
    </cdr:from>
    <cdr:to>
      <cdr:x>0.80358</cdr:x>
      <cdr:y>0.45366</cdr:y>
    </cdr:to>
    <cdr:sp macro="" textlink="">
      <cdr:nvSpPr>
        <cdr:cNvPr id="18" name="TextBox 17">
          <a:extLst xmlns:a="http://schemas.openxmlformats.org/drawingml/2006/main">
            <a:ext uri="{FF2B5EF4-FFF2-40B4-BE49-F238E27FC236}">
              <a16:creationId xmlns:a16="http://schemas.microsoft.com/office/drawing/2014/main" id="{BD61E6F2-383F-4525-5F33-74B9F3FEBB4F}"/>
            </a:ext>
          </a:extLst>
        </cdr:cNvPr>
        <cdr:cNvSpPr txBox="1"/>
      </cdr:nvSpPr>
      <cdr:spPr>
        <a:xfrm xmlns:a="http://schemas.openxmlformats.org/drawingml/2006/main">
          <a:off x="5915025" y="2514600"/>
          <a:ext cx="10477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600" kern="1200"/>
            <a:t>Dissipation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585787</xdr:colOff>
      <xdr:row>3</xdr:row>
      <xdr:rowOff>123825</xdr:rowOff>
    </xdr:from>
    <xdr:to>
      <xdr:col>25</xdr:col>
      <xdr:colOff>219075</xdr:colOff>
      <xdr:row>46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zoomScaleNormal="100" workbookViewId="0">
      <pane ySplit="1" topLeftCell="A2" activePane="bottomLeft" state="frozen"/>
      <selection pane="bottomLeft" activeCell="C9" sqref="C9"/>
    </sheetView>
  </sheetViews>
  <sheetFormatPr defaultColWidth="11.5703125" defaultRowHeight="12.75" x14ac:dyDescent="0.2"/>
  <cols>
    <col min="1" max="1" width="11.28515625" style="21" customWidth="1"/>
    <col min="2" max="2" width="10.5703125" style="1" customWidth="1"/>
    <col min="3" max="3" width="11" style="1" customWidth="1"/>
    <col min="4" max="4" width="9.140625" style="11" customWidth="1"/>
    <col min="5" max="5" width="10.7109375" style="11" customWidth="1"/>
    <col min="6" max="6" width="14.5703125" style="2" customWidth="1"/>
    <col min="7" max="7" width="74" customWidth="1"/>
  </cols>
  <sheetData>
    <row r="1" spans="1:7" ht="50.25" customHeight="1" x14ac:dyDescent="0.2">
      <c r="A1" s="19"/>
      <c r="B1" s="8" t="s">
        <v>0</v>
      </c>
      <c r="C1" s="8" t="s">
        <v>1</v>
      </c>
      <c r="D1" s="12" t="s">
        <v>3</v>
      </c>
      <c r="E1" s="8" t="s">
        <v>2</v>
      </c>
      <c r="F1" s="15" t="s">
        <v>55</v>
      </c>
      <c r="G1" s="9" t="s">
        <v>54</v>
      </c>
    </row>
    <row r="2" spans="1:7" x14ac:dyDescent="0.2">
      <c r="A2" s="20">
        <f>_xlfn.DAYS(B2,Located!$B$3)+(((VALUE(LEFT(C2,2))/24)+(VALUE(RIGHT(C2,2))/1440))-((VALUE(LEFT(Located!$C$3,2))/24)+(VALUE(RIGHT(Located!$C$3,2))/1440)))</f>
        <v>-2.0833333333333259E-3</v>
      </c>
      <c r="B2" s="13" t="s">
        <v>57</v>
      </c>
      <c r="C2" s="7" t="s">
        <v>59</v>
      </c>
      <c r="D2" s="10">
        <v>-25.11</v>
      </c>
      <c r="E2" s="10">
        <v>151.15299999999999</v>
      </c>
      <c r="F2" s="5">
        <v>1.7</v>
      </c>
      <c r="G2" s="4"/>
    </row>
    <row r="3" spans="1:7" x14ac:dyDescent="0.2">
      <c r="A3" s="23">
        <f>_xlfn.DAYS(B3,Located!$B$3)+(((VALUE(LEFT(C3,2))/24)+(VALUE(RIGHT(C3,2))/1440))-((VALUE(LEFT(Located!$C$3,2))/24)+(VALUE(RIGHT(Located!$C$3,2))/1440)))</f>
        <v>0</v>
      </c>
      <c r="B3" s="24" t="s">
        <v>57</v>
      </c>
      <c r="C3" s="25" t="s">
        <v>58</v>
      </c>
      <c r="D3" s="27">
        <v>-25.062000000000001</v>
      </c>
      <c r="E3" s="27">
        <v>151.35599999999999</v>
      </c>
      <c r="F3" s="26">
        <v>2.1</v>
      </c>
      <c r="G3" s="4"/>
    </row>
    <row r="4" spans="1:7" x14ac:dyDescent="0.2">
      <c r="A4" s="20">
        <f>_xlfn.DAYS(B4,Located!$B$3)+(((VALUE(LEFT(C4,2))/24)+(VALUE(RIGHT(C4,2))/1440))-((VALUE(LEFT(Located!$C$3,2))/24)+(VALUE(RIGHT(Located!$C$3,2))/1440)))</f>
        <v>3.4722222222222099E-3</v>
      </c>
      <c r="B4" s="13" t="s">
        <v>57</v>
      </c>
      <c r="C4" s="7" t="s">
        <v>66</v>
      </c>
      <c r="D4" s="10">
        <v>-25.082000000000001</v>
      </c>
      <c r="E4" s="10">
        <v>151.19300000000001</v>
      </c>
      <c r="F4" s="5">
        <v>2</v>
      </c>
      <c r="G4" s="4"/>
    </row>
    <row r="5" spans="1:7" x14ac:dyDescent="0.2">
      <c r="A5" s="20"/>
      <c r="B5" s="13"/>
      <c r="C5" s="7"/>
      <c r="D5" s="10"/>
      <c r="E5" s="10"/>
      <c r="F5" s="5"/>
      <c r="G5" s="4"/>
    </row>
    <row r="6" spans="1:7" x14ac:dyDescent="0.2">
      <c r="A6" s="20"/>
      <c r="B6" s="13"/>
      <c r="C6" s="7"/>
      <c r="D6" s="10"/>
      <c r="E6" s="10"/>
      <c r="F6" s="5"/>
      <c r="G6" s="4"/>
    </row>
    <row r="7" spans="1:7" x14ac:dyDescent="0.2">
      <c r="A7" s="20"/>
      <c r="B7" s="13"/>
      <c r="C7" s="7"/>
      <c r="D7" s="10"/>
      <c r="E7" s="10"/>
      <c r="F7" s="5"/>
      <c r="G7" s="4"/>
    </row>
    <row r="8" spans="1:7" x14ac:dyDescent="0.2">
      <c r="A8" s="20"/>
      <c r="B8" s="13"/>
      <c r="C8" s="7"/>
      <c r="D8" s="10"/>
      <c r="E8" s="10"/>
      <c r="F8" s="5"/>
      <c r="G8" s="4"/>
    </row>
    <row r="9" spans="1:7" x14ac:dyDescent="0.2">
      <c r="A9" s="20"/>
      <c r="B9" s="13"/>
      <c r="C9" s="7"/>
      <c r="D9" s="10"/>
      <c r="E9" s="10"/>
      <c r="F9" s="5"/>
      <c r="G9" s="4"/>
    </row>
    <row r="10" spans="1:7" x14ac:dyDescent="0.2">
      <c r="A10" s="20"/>
      <c r="B10" s="13"/>
      <c r="C10" s="7"/>
      <c r="D10" s="10"/>
      <c r="E10" s="10"/>
      <c r="F10" s="5"/>
      <c r="G10" s="4"/>
    </row>
    <row r="11" spans="1:7" x14ac:dyDescent="0.2">
      <c r="A11" s="20"/>
      <c r="B11" s="13"/>
      <c r="C11" s="7"/>
      <c r="D11" s="10"/>
      <c r="E11" s="10"/>
      <c r="F11" s="5"/>
      <c r="G11" s="4"/>
    </row>
    <row r="12" spans="1:7" x14ac:dyDescent="0.2">
      <c r="A12" s="20"/>
      <c r="B12" s="13"/>
      <c r="C12" s="7"/>
      <c r="D12" s="10"/>
      <c r="E12" s="10"/>
      <c r="F12" s="5"/>
      <c r="G12" s="4"/>
    </row>
    <row r="13" spans="1:7" x14ac:dyDescent="0.2">
      <c r="A13" s="20"/>
      <c r="B13" s="13"/>
      <c r="C13" s="7"/>
      <c r="D13" s="10"/>
      <c r="E13" s="10"/>
      <c r="F13" s="5"/>
      <c r="G13" s="4"/>
    </row>
    <row r="14" spans="1:7" x14ac:dyDescent="0.2">
      <c r="A14" s="20"/>
      <c r="B14" s="13"/>
      <c r="C14" s="7"/>
      <c r="D14" s="10"/>
      <c r="E14" s="10"/>
      <c r="F14" s="5"/>
      <c r="G14" s="4"/>
    </row>
    <row r="15" spans="1:7" x14ac:dyDescent="0.2">
      <c r="A15" s="20"/>
      <c r="B15" s="13"/>
      <c r="C15" s="7"/>
      <c r="D15" s="10"/>
      <c r="E15" s="10"/>
      <c r="F15" s="5"/>
      <c r="G15" s="4"/>
    </row>
    <row r="16" spans="1:7" x14ac:dyDescent="0.2">
      <c r="A16" s="20"/>
      <c r="B16" s="7"/>
      <c r="C16" s="7"/>
      <c r="D16" s="10"/>
      <c r="E16" s="10"/>
      <c r="F16" s="5"/>
      <c r="G16" s="4"/>
    </row>
    <row r="17" spans="1:7" x14ac:dyDescent="0.2">
      <c r="A17" s="20"/>
      <c r="B17" s="13" t="s">
        <v>56</v>
      </c>
      <c r="C17" s="7"/>
      <c r="D17" s="10"/>
      <c r="E17" s="10"/>
      <c r="F17" s="5"/>
      <c r="G17" s="4"/>
    </row>
    <row r="19" spans="1:7" x14ac:dyDescent="0.2">
      <c r="F19" s="18">
        <f>21/24+30/1440</f>
        <v>0.89583333333333337</v>
      </c>
    </row>
    <row r="20" spans="1:7" x14ac:dyDescent="0.2">
      <c r="A20" s="22"/>
    </row>
  </sheetData>
  <sheetProtection selectLockedCells="1" selectUnlockedCells="1"/>
  <sortState xmlns:xlrd2="http://schemas.microsoft.com/office/spreadsheetml/2017/richdata2" ref="A2:E1067">
    <sortCondition ref="B2:B1067"/>
    <sortCondition ref="C2:C1067"/>
  </sortState>
  <phoneticPr fontId="11" type="noConversion"/>
  <pageMargins left="0.78749999999999998" right="0.78749999999999998" top="1.0249999999999999" bottom="1.0249999999999999" header="0.78749999999999998" footer="0.78749999999999998"/>
  <pageSetup paperSize="9" scale="55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64D1F-38CD-44D2-B553-11A1494D1D87}">
  <dimension ref="A1:E51"/>
  <sheetViews>
    <sheetView zoomScaleNormal="100" workbookViewId="0">
      <pane ySplit="1" topLeftCell="A2" activePane="bottomLeft" state="frozen"/>
      <selection pane="bottomLeft" activeCell="E4" sqref="E4"/>
    </sheetView>
  </sheetViews>
  <sheetFormatPr defaultColWidth="11.5703125" defaultRowHeight="12.75" x14ac:dyDescent="0.2"/>
  <cols>
    <col min="1" max="1" width="11.28515625" style="18" customWidth="1"/>
    <col min="2" max="2" width="10.5703125" style="1" customWidth="1"/>
    <col min="3" max="3" width="11" style="1" customWidth="1"/>
    <col min="4" max="4" width="14.5703125" style="2" customWidth="1"/>
    <col min="5" max="5" width="74" customWidth="1"/>
  </cols>
  <sheetData>
    <row r="1" spans="1:5" ht="50.25" customHeight="1" x14ac:dyDescent="0.2">
      <c r="A1" s="16"/>
      <c r="B1" s="8" t="s">
        <v>0</v>
      </c>
      <c r="C1" s="8" t="s">
        <v>1</v>
      </c>
      <c r="D1" s="15" t="s">
        <v>55</v>
      </c>
      <c r="E1" s="9" t="s">
        <v>54</v>
      </c>
    </row>
    <row r="2" spans="1:5" x14ac:dyDescent="0.2">
      <c r="A2" s="20">
        <f>_xlfn.DAYS(B2,Located!$B$3)+(((VALUE(LEFT(C2,2))/24)+(VALUE(RIGHT(C2,2))/1440))-((VALUE(LEFT(Located!$C$3,2))/24)+(VALUE(RIGHT(Located!$C$3,2))/1440)))</f>
        <v>-4.1666666666666519E-3</v>
      </c>
      <c r="B2" s="13" t="s">
        <v>57</v>
      </c>
      <c r="C2" s="7" t="s">
        <v>60</v>
      </c>
      <c r="D2" s="5">
        <v>0</v>
      </c>
      <c r="E2" s="4"/>
    </row>
    <row r="3" spans="1:5" x14ac:dyDescent="0.2">
      <c r="A3" s="20">
        <f>_xlfn.DAYS(B3,Located!$B$3)+(((VALUE(LEFT(C3,2))/24)+(VALUE(RIGHT(C3,2))/1440))-((VALUE(LEFT(Located!$C$3,2))/24)+(VALUE(RIGHT(Located!$C$3,2))/1440)))</f>
        <v>-3.4722222222222099E-3</v>
      </c>
      <c r="B3" s="13" t="s">
        <v>57</v>
      </c>
      <c r="C3" s="7" t="s">
        <v>61</v>
      </c>
      <c r="D3" s="5">
        <v>0.5</v>
      </c>
      <c r="E3" s="4"/>
    </row>
    <row r="4" spans="1:5" x14ac:dyDescent="0.2">
      <c r="A4" s="20">
        <f>_xlfn.DAYS(B4,Located!$B$3)+(((VALUE(LEFT(C4,2))/24)+(VALUE(RIGHT(C4,2))/1440))-((VALUE(LEFT(Located!$C$3,2))/24)+(VALUE(RIGHT(Located!$C$3,2))/1440)))</f>
        <v>-2.7777777777777679E-3</v>
      </c>
      <c r="B4" s="13" t="s">
        <v>57</v>
      </c>
      <c r="C4" s="7" t="s">
        <v>62</v>
      </c>
      <c r="D4" s="5">
        <v>1.4</v>
      </c>
      <c r="E4" s="4"/>
    </row>
    <row r="5" spans="1:5" x14ac:dyDescent="0.2">
      <c r="A5" s="20">
        <f>_xlfn.DAYS(B5,Located!$B$3)+(((VALUE(LEFT(C5,2))/24)+(VALUE(RIGHT(C5,2))/1440))-((VALUE(LEFT(Located!$C$3,2))/24)+(VALUE(RIGHT(Located!$C$3,2))/1440)))</f>
        <v>-2.7777777777777679E-3</v>
      </c>
      <c r="B5" s="13" t="s">
        <v>57</v>
      </c>
      <c r="C5" s="7" t="s">
        <v>62</v>
      </c>
      <c r="D5" s="5">
        <v>1.1000000000000001</v>
      </c>
      <c r="E5" s="4"/>
    </row>
    <row r="6" spans="1:5" x14ac:dyDescent="0.2">
      <c r="A6" s="20">
        <f>_xlfn.DAYS(B6,Located!$B$3)+(((VALUE(LEFT(C6,2))/24)+(VALUE(RIGHT(C6,2))/1440))-((VALUE(LEFT(Located!$C$3,2))/24)+(VALUE(RIGHT(Located!$C$3,2))/1440)))</f>
        <v>-1.388888888888884E-3</v>
      </c>
      <c r="B6" s="13" t="s">
        <v>57</v>
      </c>
      <c r="C6" s="7" t="s">
        <v>63</v>
      </c>
      <c r="D6" s="5">
        <v>0.8</v>
      </c>
      <c r="E6" s="4"/>
    </row>
    <row r="7" spans="1:5" x14ac:dyDescent="0.2">
      <c r="A7" s="20">
        <f>_xlfn.DAYS(B7,Located!$B$3)+(((VALUE(LEFT(C7,2))/24)+(VALUE(RIGHT(C7,2))/1440))-((VALUE(LEFT(Located!$C$3,2))/24)+(VALUE(RIGHT(Located!$C$3,2))/1440)))</f>
        <v>-6.9444444444444198E-4</v>
      </c>
      <c r="B7" s="13" t="s">
        <v>57</v>
      </c>
      <c r="C7" s="7" t="s">
        <v>64</v>
      </c>
      <c r="D7" s="5">
        <v>0.8</v>
      </c>
      <c r="E7" s="4"/>
    </row>
    <row r="8" spans="1:5" x14ac:dyDescent="0.2">
      <c r="A8" s="20">
        <f>_xlfn.DAYS(B8,Located!$B$3)+(((VALUE(LEFT(C8,2))/24)+(VALUE(RIGHT(C8,2))/1440))-((VALUE(LEFT(Located!$C$3,2))/24)+(VALUE(RIGHT(Located!$C$3,2))/1440)))</f>
        <v>-6.9444444444444198E-4</v>
      </c>
      <c r="B8" s="13" t="s">
        <v>57</v>
      </c>
      <c r="C8" s="7" t="s">
        <v>64</v>
      </c>
      <c r="D8" s="5">
        <v>0.7</v>
      </c>
      <c r="E8" s="4"/>
    </row>
    <row r="9" spans="1:5" x14ac:dyDescent="0.2">
      <c r="A9" s="23">
        <f>_xlfn.DAYS(B9,Located!$B$3)+(((VALUE(LEFT(C9,2))/24)+(VALUE(RIGHT(C9,2))/1440))-((VALUE(LEFT(Located!$C$3,2))/24)+(VALUE(RIGHT(Located!$C$3,2))/1440)))</f>
        <v>0</v>
      </c>
      <c r="B9" s="24" t="s">
        <v>57</v>
      </c>
      <c r="C9" s="25" t="s">
        <v>58</v>
      </c>
      <c r="D9" s="26">
        <v>0.8</v>
      </c>
      <c r="E9" s="4"/>
    </row>
    <row r="10" spans="1:5" x14ac:dyDescent="0.2">
      <c r="A10" s="20">
        <f>_xlfn.DAYS(B10,Located!$B$3)+(((VALUE(LEFT(C10,2))/24)+(VALUE(RIGHT(C10,2))/1440))-((VALUE(LEFT(Located!$C$3,2))/24)+(VALUE(RIGHT(Located!$C$3,2))/1440)))</f>
        <v>2.0833333333333259E-3</v>
      </c>
      <c r="B10" s="13" t="s">
        <v>57</v>
      </c>
      <c r="C10" s="7" t="s">
        <v>65</v>
      </c>
      <c r="D10" s="5">
        <v>0.8</v>
      </c>
      <c r="E10" s="4"/>
    </row>
    <row r="11" spans="1:5" x14ac:dyDescent="0.2">
      <c r="A11" s="20">
        <f>_xlfn.DAYS(B11,Located!$B$3)+(((VALUE(LEFT(C11,2))/24)+(VALUE(RIGHT(C11,2))/1440))-((VALUE(LEFT(Located!$C$3,2))/24)+(VALUE(RIGHT(Located!$C$3,2))/1440)))</f>
        <v>2.0833333333333259E-3</v>
      </c>
      <c r="B11" s="13" t="s">
        <v>57</v>
      </c>
      <c r="C11" s="7" t="s">
        <v>65</v>
      </c>
      <c r="D11" s="5">
        <v>1.3</v>
      </c>
      <c r="E11" s="4"/>
    </row>
    <row r="12" spans="1:5" x14ac:dyDescent="0.2">
      <c r="A12" s="20">
        <f>_xlfn.DAYS(B12,Located!$B$3)+(((VALUE(LEFT(C12,2))/24)+(VALUE(RIGHT(C12,2))/1440))-((VALUE(LEFT(Located!$C$3,2))/24)+(VALUE(RIGHT(Located!$C$3,2))/1440)))</f>
        <v>4.8611111111110938E-3</v>
      </c>
      <c r="B12" s="13" t="s">
        <v>57</v>
      </c>
      <c r="C12" s="7" t="s">
        <v>67</v>
      </c>
      <c r="D12" s="5">
        <v>-0.1</v>
      </c>
      <c r="E12" s="4"/>
    </row>
    <row r="13" spans="1:5" x14ac:dyDescent="0.2">
      <c r="A13" s="20">
        <f>_xlfn.DAYS(B13,Located!$B$3)+(((VALUE(LEFT(C13,2))/24)+(VALUE(RIGHT(C13,2))/1440))-((VALUE(LEFT(Located!$C$3,2))/24)+(VALUE(RIGHT(Located!$C$3,2))/1440)))</f>
        <v>5.5555555555555358E-3</v>
      </c>
      <c r="B13" s="13" t="s">
        <v>57</v>
      </c>
      <c r="C13" s="7" t="s">
        <v>68</v>
      </c>
      <c r="D13" s="5">
        <v>-0.2</v>
      </c>
      <c r="E13" s="4"/>
    </row>
    <row r="14" spans="1:5" x14ac:dyDescent="0.2">
      <c r="A14" s="20">
        <f>_xlfn.DAYS(B14,Located!$B$3)+(((VALUE(LEFT(C14,2))/24)+(VALUE(RIGHT(C14,2))/1440))-((VALUE(LEFT(Located!$C$3,2))/24)+(VALUE(RIGHT(Located!$C$3,2))/1440)))</f>
        <v>5.5555555555555358E-3</v>
      </c>
      <c r="B14" s="13" t="s">
        <v>57</v>
      </c>
      <c r="C14" s="7" t="s">
        <v>68</v>
      </c>
      <c r="D14" s="5">
        <v>-0.1</v>
      </c>
      <c r="E14" s="4"/>
    </row>
    <row r="15" spans="1:5" x14ac:dyDescent="0.2">
      <c r="A15" s="20">
        <f>_xlfn.DAYS(B15,Located!$B$3)+(((VALUE(LEFT(C15,2))/24)+(VALUE(RIGHT(C15,2))/1440))-((VALUE(LEFT(Located!$C$3,2))/24)+(VALUE(RIGHT(Located!$C$3,2))/1440)))</f>
        <v>6.2499999999999778E-3</v>
      </c>
      <c r="B15" s="13" t="s">
        <v>57</v>
      </c>
      <c r="C15" s="7" t="s">
        <v>69</v>
      </c>
      <c r="D15" s="5">
        <v>0</v>
      </c>
      <c r="E15" s="4"/>
    </row>
    <row r="16" spans="1:5" x14ac:dyDescent="0.2">
      <c r="A16" s="20">
        <f>_xlfn.DAYS(B16,Located!$B$3)+(((VALUE(LEFT(C16,2))/24)+(VALUE(RIGHT(C16,2))/1440))-((VALUE(LEFT(Located!$C$3,2))/24)+(VALUE(RIGHT(Located!$C$3,2))/1440)))</f>
        <v>8.3333333333333037E-3</v>
      </c>
      <c r="B16" s="13" t="s">
        <v>57</v>
      </c>
      <c r="C16" s="7" t="s">
        <v>70</v>
      </c>
      <c r="D16" s="5">
        <v>-0.3</v>
      </c>
      <c r="E16" s="4"/>
    </row>
    <row r="17" spans="1:5" x14ac:dyDescent="0.2">
      <c r="A17" s="20">
        <f>_xlfn.DAYS(B17,Located!$B$3)+(((VALUE(LEFT(C17,2))/24)+(VALUE(RIGHT(C17,2))/1440))-((VALUE(LEFT(Located!$C$3,2))/24)+(VALUE(RIGHT(Located!$C$3,2))/1440)))</f>
        <v>9.0277777777777457E-3</v>
      </c>
      <c r="B17" s="13" t="s">
        <v>57</v>
      </c>
      <c r="C17" s="7" t="s">
        <v>71</v>
      </c>
      <c r="D17" s="5">
        <v>0.4</v>
      </c>
      <c r="E17" s="4"/>
    </row>
    <row r="18" spans="1:5" x14ac:dyDescent="0.2">
      <c r="A18" s="20">
        <f>_xlfn.DAYS(B18,Located!$B$3)+(((VALUE(LEFT(C18,2))/24)+(VALUE(RIGHT(C18,2))/1440))-((VALUE(LEFT(Located!$C$3,2))/24)+(VALUE(RIGHT(Located!$C$3,2))/1440)))</f>
        <v>1.041666666666663E-2</v>
      </c>
      <c r="B18" s="13" t="s">
        <v>57</v>
      </c>
      <c r="C18" s="7" t="s">
        <v>72</v>
      </c>
      <c r="D18" s="5">
        <v>1.5</v>
      </c>
      <c r="E18" s="4"/>
    </row>
    <row r="19" spans="1:5" x14ac:dyDescent="0.2">
      <c r="A19" s="14"/>
      <c r="B19" s="13"/>
      <c r="C19" s="7"/>
      <c r="D19" s="5"/>
      <c r="E19" s="4"/>
    </row>
    <row r="20" spans="1:5" x14ac:dyDescent="0.2">
      <c r="A20" s="14"/>
      <c r="B20" s="13"/>
      <c r="C20" s="7"/>
      <c r="D20" s="5"/>
      <c r="E20" s="4"/>
    </row>
    <row r="21" spans="1:5" x14ac:dyDescent="0.2">
      <c r="A21" s="14"/>
      <c r="B21" s="13"/>
      <c r="C21" s="7"/>
      <c r="D21" s="5"/>
      <c r="E21" s="4"/>
    </row>
    <row r="22" spans="1:5" x14ac:dyDescent="0.2">
      <c r="A22" s="14"/>
      <c r="B22" s="13"/>
      <c r="C22" s="7"/>
      <c r="D22" s="5"/>
      <c r="E22" s="4"/>
    </row>
    <row r="23" spans="1:5" x14ac:dyDescent="0.2">
      <c r="A23" s="14"/>
      <c r="B23" s="13"/>
      <c r="C23" s="7"/>
      <c r="D23" s="5"/>
      <c r="E23" s="4"/>
    </row>
    <row r="24" spans="1:5" x14ac:dyDescent="0.2">
      <c r="A24" s="14"/>
      <c r="B24" s="13"/>
      <c r="C24" s="7"/>
      <c r="D24" s="5"/>
      <c r="E24" s="4"/>
    </row>
    <row r="25" spans="1:5" x14ac:dyDescent="0.2">
      <c r="A25" s="14"/>
      <c r="B25" s="13"/>
      <c r="C25" s="7"/>
      <c r="D25" s="5"/>
      <c r="E25" s="4"/>
    </row>
    <row r="26" spans="1:5" x14ac:dyDescent="0.2">
      <c r="A26" s="14"/>
      <c r="B26" s="13"/>
      <c r="C26" s="7"/>
      <c r="D26" s="5"/>
      <c r="E26" s="4"/>
    </row>
    <row r="27" spans="1:5" x14ac:dyDescent="0.2">
      <c r="A27" s="14"/>
      <c r="B27" s="13"/>
      <c r="C27" s="7"/>
      <c r="D27" s="5"/>
      <c r="E27" s="4"/>
    </row>
    <row r="28" spans="1:5" x14ac:dyDescent="0.2">
      <c r="A28" s="14"/>
      <c r="B28" s="13"/>
      <c r="C28" s="7"/>
      <c r="D28" s="5"/>
      <c r="E28" s="4"/>
    </row>
    <row r="29" spans="1:5" x14ac:dyDescent="0.2">
      <c r="A29" s="14"/>
      <c r="B29" s="13"/>
      <c r="C29" s="7"/>
      <c r="D29" s="5"/>
      <c r="E29" s="4"/>
    </row>
    <row r="30" spans="1:5" x14ac:dyDescent="0.2">
      <c r="A30" s="14"/>
      <c r="B30" s="13"/>
      <c r="C30" s="7"/>
      <c r="D30" s="5"/>
      <c r="E30" s="4"/>
    </row>
    <row r="31" spans="1:5" x14ac:dyDescent="0.2">
      <c r="A31" s="14"/>
      <c r="B31" s="13"/>
      <c r="C31" s="7"/>
      <c r="D31" s="5"/>
      <c r="E31" s="4"/>
    </row>
    <row r="32" spans="1:5" x14ac:dyDescent="0.2">
      <c r="A32" s="14"/>
      <c r="B32" s="13"/>
      <c r="C32" s="7"/>
      <c r="D32" s="5"/>
      <c r="E32" s="4"/>
    </row>
    <row r="33" spans="1:5" x14ac:dyDescent="0.2">
      <c r="A33" s="14"/>
      <c r="B33" s="13"/>
      <c r="C33" s="7"/>
      <c r="D33" s="5"/>
      <c r="E33" s="4"/>
    </row>
    <row r="34" spans="1:5" x14ac:dyDescent="0.2">
      <c r="A34" s="14"/>
      <c r="B34" s="13"/>
      <c r="C34" s="7"/>
      <c r="D34" s="5"/>
      <c r="E34" s="4"/>
    </row>
    <row r="35" spans="1:5" x14ac:dyDescent="0.2">
      <c r="A35" s="14"/>
      <c r="B35" s="13"/>
      <c r="C35" s="7"/>
      <c r="D35" s="5"/>
      <c r="E35" s="4"/>
    </row>
    <row r="36" spans="1:5" x14ac:dyDescent="0.2">
      <c r="A36" s="14"/>
      <c r="B36" s="13"/>
      <c r="C36" s="7"/>
      <c r="D36" s="5"/>
      <c r="E36" s="4"/>
    </row>
    <row r="37" spans="1:5" x14ac:dyDescent="0.2">
      <c r="A37" s="14"/>
      <c r="B37" s="13"/>
      <c r="C37" s="7"/>
      <c r="D37" s="5"/>
      <c r="E37" s="4"/>
    </row>
    <row r="38" spans="1:5" x14ac:dyDescent="0.2">
      <c r="A38" s="14"/>
      <c r="B38" s="13"/>
      <c r="C38" s="7"/>
      <c r="D38" s="5"/>
      <c r="E38" s="4"/>
    </row>
    <row r="39" spans="1:5" x14ac:dyDescent="0.2">
      <c r="A39" s="14"/>
      <c r="B39" s="13"/>
      <c r="C39" s="7"/>
      <c r="D39" s="5"/>
      <c r="E39" s="4"/>
    </row>
    <row r="40" spans="1:5" x14ac:dyDescent="0.2">
      <c r="A40" s="14"/>
      <c r="B40" s="13"/>
      <c r="C40" s="7"/>
      <c r="D40" s="5"/>
      <c r="E40" s="4"/>
    </row>
    <row r="41" spans="1:5" x14ac:dyDescent="0.2">
      <c r="A41" s="14"/>
      <c r="B41" s="13"/>
      <c r="C41" s="7"/>
      <c r="D41" s="5"/>
      <c r="E41" s="4"/>
    </row>
    <row r="42" spans="1:5" x14ac:dyDescent="0.2">
      <c r="A42" s="14"/>
      <c r="B42" s="13"/>
      <c r="C42" s="7"/>
      <c r="D42" s="5"/>
      <c r="E42" s="4"/>
    </row>
    <row r="43" spans="1:5" x14ac:dyDescent="0.2">
      <c r="A43" s="14"/>
      <c r="B43" s="13"/>
      <c r="C43" s="7"/>
      <c r="D43" s="5"/>
      <c r="E43" s="4"/>
    </row>
    <row r="44" spans="1:5" x14ac:dyDescent="0.2">
      <c r="A44" s="14"/>
      <c r="B44" s="13"/>
      <c r="C44" s="7"/>
      <c r="D44" s="5"/>
      <c r="E44" s="4"/>
    </row>
    <row r="45" spans="1:5" x14ac:dyDescent="0.2">
      <c r="A45" s="14"/>
      <c r="B45" s="13"/>
      <c r="C45" s="7"/>
      <c r="D45" s="5"/>
      <c r="E45" s="4"/>
    </row>
    <row r="46" spans="1:5" x14ac:dyDescent="0.2">
      <c r="A46" s="14"/>
      <c r="B46" s="13"/>
      <c r="C46" s="7"/>
      <c r="D46" s="5"/>
      <c r="E46" s="4"/>
    </row>
    <row r="47" spans="1:5" x14ac:dyDescent="0.2">
      <c r="A47" s="14"/>
      <c r="B47" s="7"/>
      <c r="C47" s="7"/>
      <c r="D47" s="5"/>
      <c r="E47" s="4"/>
    </row>
    <row r="48" spans="1:5" x14ac:dyDescent="0.2">
      <c r="A48" s="14"/>
      <c r="B48" s="13" t="s">
        <v>56</v>
      </c>
      <c r="C48" s="7"/>
      <c r="D48" s="5"/>
      <c r="E48" s="4"/>
    </row>
    <row r="51" spans="1:1" x14ac:dyDescent="0.2">
      <c r="A51" s="17"/>
    </row>
  </sheetData>
  <sheetProtection selectLockedCells="1" selectUnlockedCells="1"/>
  <phoneticPr fontId="11" type="noConversion"/>
  <pageMargins left="0.78749999999999998" right="0.78749999999999998" top="1.0249999999999999" bottom="1.0249999999999999" header="0.78749999999999998" footer="0.78749999999999998"/>
  <pageSetup paperSize="9" scale="55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49"/>
  <sheetViews>
    <sheetView topLeftCell="A6" workbookViewId="0">
      <selection activeCell="D18" sqref="D18"/>
    </sheetView>
  </sheetViews>
  <sheetFormatPr defaultRowHeight="12.75" x14ac:dyDescent="0.2"/>
  <cols>
    <col min="1" max="1" width="14.5703125" customWidth="1"/>
    <col min="2" max="2" width="12.5703125" customWidth="1"/>
    <col min="4" max="4" width="9.140625" style="6"/>
  </cols>
  <sheetData>
    <row r="1" spans="1:4" ht="25.5" x14ac:dyDescent="0.2">
      <c r="A1" s="3" t="s">
        <v>4</v>
      </c>
      <c r="B1" s="3" t="s">
        <v>5</v>
      </c>
    </row>
    <row r="2" spans="1:4" x14ac:dyDescent="0.2">
      <c r="A2" s="4" t="s">
        <v>6</v>
      </c>
      <c r="B2" s="4">
        <f>COUNTIF(Located!F3:F4,"&lt;1.3")-COUNTIF(Located!F3:F4,"&lt;=1.2")</f>
        <v>0</v>
      </c>
      <c r="C2">
        <f>B2</f>
        <v>0</v>
      </c>
      <c r="D2" s="6" t="e">
        <f>C2/$C$49</f>
        <v>#DIV/0!</v>
      </c>
    </row>
    <row r="3" spans="1:4" x14ac:dyDescent="0.2">
      <c r="A3" s="4" t="s">
        <v>7</v>
      </c>
      <c r="B3" s="4">
        <f>COUNTIF(Located!F3:F4,"&lt;1.4")-COUNTIF(Located!F3:F4,"&lt;=1.3")</f>
        <v>0</v>
      </c>
      <c r="C3">
        <f>B3+C2</f>
        <v>0</v>
      </c>
      <c r="D3" s="6" t="e">
        <f t="shared" ref="D3:D49" si="0">C3/$C$49</f>
        <v>#DIV/0!</v>
      </c>
    </row>
    <row r="4" spans="1:4" x14ac:dyDescent="0.2">
      <c r="A4" s="4" t="s">
        <v>8</v>
      </c>
      <c r="B4" s="4">
        <f>COUNTIF(Located!F3:F4,"&lt;1.5")-COUNTIF(Located!F3:F4,"&lt;=1.4")</f>
        <v>0</v>
      </c>
      <c r="C4">
        <f t="shared" ref="C4:C49" si="1">B4+C3</f>
        <v>0</v>
      </c>
      <c r="D4" s="6" t="e">
        <f t="shared" si="0"/>
        <v>#DIV/0!</v>
      </c>
    </row>
    <row r="5" spans="1:4" x14ac:dyDescent="0.2">
      <c r="A5" s="4" t="s">
        <v>9</v>
      </c>
      <c r="B5" s="4">
        <f>COUNTIF(Located!F3:F4,"&lt;1.6")-COUNTIF(Located!F3:F4,"&lt;=1.5")</f>
        <v>0</v>
      </c>
      <c r="C5">
        <f t="shared" si="1"/>
        <v>0</v>
      </c>
      <c r="D5" s="6" t="e">
        <f t="shared" si="0"/>
        <v>#DIV/0!</v>
      </c>
    </row>
    <row r="6" spans="1:4" x14ac:dyDescent="0.2">
      <c r="A6" s="4" t="s">
        <v>10</v>
      </c>
      <c r="B6" s="4">
        <f>COUNTIF(Located!F3:F4,"&lt;1.7")-COUNTIF(Located!F3:F4,"&lt;=1.6")</f>
        <v>0</v>
      </c>
      <c r="C6">
        <f t="shared" si="1"/>
        <v>0</v>
      </c>
      <c r="D6" s="6" t="e">
        <f t="shared" si="0"/>
        <v>#DIV/0!</v>
      </c>
    </row>
    <row r="7" spans="1:4" x14ac:dyDescent="0.2">
      <c r="A7" s="4" t="s">
        <v>11</v>
      </c>
      <c r="B7" s="4">
        <f>COUNTIF(Located!F3:F4,"&lt;1.8")-COUNTIF(Located!F3:F4,"&lt;=1.7")</f>
        <v>0</v>
      </c>
      <c r="C7">
        <f t="shared" si="1"/>
        <v>0</v>
      </c>
      <c r="D7" s="6" t="e">
        <f t="shared" si="0"/>
        <v>#DIV/0!</v>
      </c>
    </row>
    <row r="8" spans="1:4" x14ac:dyDescent="0.2">
      <c r="A8" s="4" t="s">
        <v>12</v>
      </c>
      <c r="B8" s="4">
        <f>COUNTIF(Located!F3:F4,"&lt;1.9")-COUNTIF(Located!F3:F4,"&lt;=1.8")</f>
        <v>0</v>
      </c>
      <c r="C8">
        <f t="shared" si="1"/>
        <v>0</v>
      </c>
      <c r="D8" s="6" t="e">
        <f t="shared" si="0"/>
        <v>#DIV/0!</v>
      </c>
    </row>
    <row r="9" spans="1:4" x14ac:dyDescent="0.2">
      <c r="A9" s="4" t="s">
        <v>13</v>
      </c>
      <c r="B9" s="4">
        <f>COUNTIF(Located!F3:F4,"&lt;2.0")-COUNTIF(Located!F3:F4,"&lt;=1.9")</f>
        <v>0</v>
      </c>
      <c r="C9">
        <f t="shared" si="1"/>
        <v>0</v>
      </c>
      <c r="D9" s="6" t="e">
        <f t="shared" si="0"/>
        <v>#DIV/0!</v>
      </c>
    </row>
    <row r="10" spans="1:4" x14ac:dyDescent="0.2">
      <c r="A10" s="4" t="s">
        <v>14</v>
      </c>
      <c r="B10" s="4">
        <f>COUNTIF(Located!F3:F4,"&lt;2.1")-COUNTIF(Located!F3:F4,"&lt;=2.0")</f>
        <v>0</v>
      </c>
      <c r="C10">
        <f t="shared" si="1"/>
        <v>0</v>
      </c>
      <c r="D10" s="6" t="e">
        <f t="shared" si="0"/>
        <v>#DIV/0!</v>
      </c>
    </row>
    <row r="11" spans="1:4" x14ac:dyDescent="0.2">
      <c r="A11" s="4" t="s">
        <v>15</v>
      </c>
      <c r="B11" s="4">
        <f>COUNTIF(Located!F3:F4,"&lt;2.2")-COUNTIF(Located!F3:F4,"&lt;=2.1")</f>
        <v>0</v>
      </c>
      <c r="C11">
        <f t="shared" si="1"/>
        <v>0</v>
      </c>
      <c r="D11" s="6" t="e">
        <f t="shared" si="0"/>
        <v>#DIV/0!</v>
      </c>
    </row>
    <row r="12" spans="1:4" x14ac:dyDescent="0.2">
      <c r="A12" s="4" t="s">
        <v>16</v>
      </c>
      <c r="B12" s="4">
        <f>COUNTIF(Located!F3:F4,"&lt;2.3")-COUNTIF(Located!F3:F4,"&lt;=2.2")</f>
        <v>0</v>
      </c>
      <c r="C12">
        <f t="shared" si="1"/>
        <v>0</v>
      </c>
      <c r="D12" s="6" t="e">
        <f t="shared" si="0"/>
        <v>#DIV/0!</v>
      </c>
    </row>
    <row r="13" spans="1:4" x14ac:dyDescent="0.2">
      <c r="A13" s="4" t="s">
        <v>17</v>
      </c>
      <c r="B13" s="4">
        <f>COUNTIF(Located!F3:F4,"&lt;2.4")-COUNTIF(Located!F3:F4,"&lt;=2.3")</f>
        <v>0</v>
      </c>
      <c r="C13">
        <f t="shared" si="1"/>
        <v>0</v>
      </c>
      <c r="D13" s="6" t="e">
        <f t="shared" si="0"/>
        <v>#DIV/0!</v>
      </c>
    </row>
    <row r="14" spans="1:4" x14ac:dyDescent="0.2">
      <c r="A14" s="4" t="s">
        <v>18</v>
      </c>
      <c r="B14" s="4">
        <f>COUNTIF(Located!F3:F4,"&lt;2.5")-COUNTIF(Located!F3:F4,"&lt;=2.4")</f>
        <v>0</v>
      </c>
      <c r="C14">
        <f t="shared" si="1"/>
        <v>0</v>
      </c>
      <c r="D14" s="6" t="e">
        <f t="shared" si="0"/>
        <v>#DIV/0!</v>
      </c>
    </row>
    <row r="15" spans="1:4" x14ac:dyDescent="0.2">
      <c r="A15" s="4" t="s">
        <v>19</v>
      </c>
      <c r="B15" s="4">
        <f>COUNTIF(Located!F3:F4,"&lt;2.6")-COUNTIF(Located!F3:F4,"&lt;=2.5")</f>
        <v>0</v>
      </c>
      <c r="C15">
        <f t="shared" si="1"/>
        <v>0</v>
      </c>
      <c r="D15" s="6" t="e">
        <f t="shared" si="0"/>
        <v>#DIV/0!</v>
      </c>
    </row>
    <row r="16" spans="1:4" x14ac:dyDescent="0.2">
      <c r="A16" s="4" t="s">
        <v>20</v>
      </c>
      <c r="B16" s="4">
        <f>COUNTIF(Located!F3:F4,"&lt;2.7")-COUNTIF(Located!F3:F4,"&lt;=2.6")</f>
        <v>0</v>
      </c>
      <c r="C16">
        <f t="shared" si="1"/>
        <v>0</v>
      </c>
      <c r="D16" s="6" t="e">
        <f t="shared" si="0"/>
        <v>#DIV/0!</v>
      </c>
    </row>
    <row r="17" spans="1:4" x14ac:dyDescent="0.2">
      <c r="A17" s="4" t="s">
        <v>21</v>
      </c>
      <c r="B17" s="4">
        <f>COUNTIF(Located!F3:F4,"&lt;2.8")-COUNTIF(Located!F3:F4,"&lt;=2.7")</f>
        <v>0</v>
      </c>
      <c r="C17">
        <f t="shared" si="1"/>
        <v>0</v>
      </c>
      <c r="D17" s="6" t="e">
        <f t="shared" si="0"/>
        <v>#DIV/0!</v>
      </c>
    </row>
    <row r="18" spans="1:4" x14ac:dyDescent="0.2">
      <c r="A18" s="4" t="s">
        <v>22</v>
      </c>
      <c r="B18" s="4">
        <f>COUNTIF(Located!F3:F4,"&lt;2.9")-COUNTIF(Located!F3:F4,"&lt;=2.8")</f>
        <v>0</v>
      </c>
      <c r="C18">
        <f t="shared" si="1"/>
        <v>0</v>
      </c>
      <c r="D18" s="6" t="e">
        <f t="shared" si="0"/>
        <v>#DIV/0!</v>
      </c>
    </row>
    <row r="19" spans="1:4" x14ac:dyDescent="0.2">
      <c r="A19" s="4" t="s">
        <v>23</v>
      </c>
      <c r="B19" s="4">
        <f>COUNTIF(Located!F3:F4,"&lt;3.0")-COUNTIF(Located!F3:F4,"&lt;=2.9")</f>
        <v>0</v>
      </c>
      <c r="C19">
        <f t="shared" si="1"/>
        <v>0</v>
      </c>
      <c r="D19" s="6" t="e">
        <f t="shared" si="0"/>
        <v>#DIV/0!</v>
      </c>
    </row>
    <row r="20" spans="1:4" x14ac:dyDescent="0.2">
      <c r="A20" s="4" t="s">
        <v>24</v>
      </c>
      <c r="B20" s="4">
        <f>COUNTIF(Located!F3:F4,"&lt;3.1")-COUNTIF(Located!F3:F4,"&lt;=3.0")</f>
        <v>0</v>
      </c>
      <c r="C20">
        <f t="shared" si="1"/>
        <v>0</v>
      </c>
      <c r="D20" s="6" t="e">
        <f t="shared" si="0"/>
        <v>#DIV/0!</v>
      </c>
    </row>
    <row r="21" spans="1:4" x14ac:dyDescent="0.2">
      <c r="A21" s="4" t="s">
        <v>25</v>
      </c>
      <c r="B21" s="4">
        <f>COUNTIF(Located!F3:F4,"&lt;3.2")-COUNTIF(Located!F3:F4,"&lt;=3.1")</f>
        <v>0</v>
      </c>
      <c r="C21">
        <f t="shared" si="1"/>
        <v>0</v>
      </c>
      <c r="D21" s="6" t="e">
        <f>C21/$C$49</f>
        <v>#DIV/0!</v>
      </c>
    </row>
    <row r="22" spans="1:4" x14ac:dyDescent="0.2">
      <c r="A22" s="4" t="s">
        <v>26</v>
      </c>
      <c r="B22" s="4">
        <f>COUNTIF(Located!F3:F4,"&lt;3.3")-COUNTIF(Located!F3:F4,"&lt;=3.2")</f>
        <v>0</v>
      </c>
      <c r="C22">
        <f t="shared" si="1"/>
        <v>0</v>
      </c>
      <c r="D22" s="6" t="e">
        <f t="shared" si="0"/>
        <v>#DIV/0!</v>
      </c>
    </row>
    <row r="23" spans="1:4" x14ac:dyDescent="0.2">
      <c r="A23" s="4" t="s">
        <v>27</v>
      </c>
      <c r="B23" s="4">
        <f>COUNTIF(Located!F3:F4,"&lt;3.4")-COUNTIF(Located!F3:F4,"&lt;=3.3")</f>
        <v>0</v>
      </c>
      <c r="C23">
        <f t="shared" si="1"/>
        <v>0</v>
      </c>
      <c r="D23" s="6" t="e">
        <f t="shared" si="0"/>
        <v>#DIV/0!</v>
      </c>
    </row>
    <row r="24" spans="1:4" x14ac:dyDescent="0.2">
      <c r="A24" s="4" t="s">
        <v>28</v>
      </c>
      <c r="B24" s="4">
        <f>COUNTIF(Located!F3:F4,"&lt;3.5")-COUNTIF(Located!F3:F4,"&lt;=3.4")</f>
        <v>0</v>
      </c>
      <c r="C24">
        <f t="shared" si="1"/>
        <v>0</v>
      </c>
      <c r="D24" s="6" t="e">
        <f t="shared" si="0"/>
        <v>#DIV/0!</v>
      </c>
    </row>
    <row r="25" spans="1:4" x14ac:dyDescent="0.2">
      <c r="A25" s="4" t="s">
        <v>29</v>
      </c>
      <c r="B25" s="4">
        <f>COUNTIF(Located!F3:F4,"&lt;3.6")-COUNTIF(Located!F3:F4,"&lt;=3.5")</f>
        <v>0</v>
      </c>
      <c r="C25">
        <f t="shared" si="1"/>
        <v>0</v>
      </c>
      <c r="D25" s="6" t="e">
        <f t="shared" si="0"/>
        <v>#DIV/0!</v>
      </c>
    </row>
    <row r="26" spans="1:4" x14ac:dyDescent="0.2">
      <c r="A26" s="4" t="s">
        <v>30</v>
      </c>
      <c r="B26" s="4">
        <f>COUNTIF(Located!F3:F4,"&lt;3.7")-COUNTIF(Located!F3:F4,"&lt;=3.6")</f>
        <v>0</v>
      </c>
      <c r="C26">
        <f t="shared" si="1"/>
        <v>0</v>
      </c>
      <c r="D26" s="6" t="e">
        <f t="shared" si="0"/>
        <v>#DIV/0!</v>
      </c>
    </row>
    <row r="27" spans="1:4" x14ac:dyDescent="0.2">
      <c r="A27" s="4" t="s">
        <v>31</v>
      </c>
      <c r="B27" s="4">
        <f>COUNTIF(Located!F3:F4,"&lt;3.8")-COUNTIF(Located!F3:F4,"&lt;=3.7")</f>
        <v>0</v>
      </c>
      <c r="C27">
        <f t="shared" si="1"/>
        <v>0</v>
      </c>
      <c r="D27" s="6" t="e">
        <f t="shared" si="0"/>
        <v>#DIV/0!</v>
      </c>
    </row>
    <row r="28" spans="1:4" x14ac:dyDescent="0.2">
      <c r="A28" s="4" t="s">
        <v>32</v>
      </c>
      <c r="B28" s="4">
        <f>COUNTIF(Located!F3:F4,"&lt;3.9")-COUNTIF(Located!F3:F4,"&lt;=3.8")</f>
        <v>0</v>
      </c>
      <c r="C28">
        <f t="shared" si="1"/>
        <v>0</v>
      </c>
      <c r="D28" s="6" t="e">
        <f t="shared" si="0"/>
        <v>#DIV/0!</v>
      </c>
    </row>
    <row r="29" spans="1:4" x14ac:dyDescent="0.2">
      <c r="A29" s="4" t="s">
        <v>33</v>
      </c>
      <c r="B29" s="4">
        <f>COUNTIF(Located!F3:F4,"&lt;4.0")-COUNTIF(Located!F3:F4,"&lt;=3.9")</f>
        <v>0</v>
      </c>
      <c r="C29">
        <f t="shared" si="1"/>
        <v>0</v>
      </c>
      <c r="D29" s="6" t="e">
        <f t="shared" si="0"/>
        <v>#DIV/0!</v>
      </c>
    </row>
    <row r="30" spans="1:4" x14ac:dyDescent="0.2">
      <c r="A30" s="4" t="s">
        <v>34</v>
      </c>
      <c r="B30" s="4">
        <f>COUNTIF(Located!F3:F4,"&lt;4.1")-COUNTIF(Located!F3:F4,"&lt;=4.0")</f>
        <v>0</v>
      </c>
      <c r="C30">
        <f t="shared" si="1"/>
        <v>0</v>
      </c>
      <c r="D30" s="6" t="e">
        <f t="shared" si="0"/>
        <v>#DIV/0!</v>
      </c>
    </row>
    <row r="31" spans="1:4" x14ac:dyDescent="0.2">
      <c r="A31" s="4" t="s">
        <v>35</v>
      </c>
      <c r="B31" s="4">
        <f>COUNTIF(Located!F3:F4,"&lt;4.2")-COUNTIF(Located!F3:F4,"&lt;=4.1")</f>
        <v>0</v>
      </c>
      <c r="C31">
        <f t="shared" si="1"/>
        <v>0</v>
      </c>
      <c r="D31" s="6" t="e">
        <f t="shared" si="0"/>
        <v>#DIV/0!</v>
      </c>
    </row>
    <row r="32" spans="1:4" x14ac:dyDescent="0.2">
      <c r="A32" s="4" t="s">
        <v>36</v>
      </c>
      <c r="B32" s="4">
        <f>COUNTIF(Located!F3:F4,"&lt;4.3")-COUNTIF(Located!F3:F4,"&lt;=4.2")</f>
        <v>0</v>
      </c>
      <c r="C32">
        <f t="shared" si="1"/>
        <v>0</v>
      </c>
      <c r="D32" s="6" t="e">
        <f t="shared" si="0"/>
        <v>#DIV/0!</v>
      </c>
    </row>
    <row r="33" spans="1:4" x14ac:dyDescent="0.2">
      <c r="A33" s="4" t="s">
        <v>37</v>
      </c>
      <c r="B33" s="4">
        <f>COUNTIF(Located!F3:F4,"&lt;4.4")-COUNTIF(Located!F3:F4,"&lt;=4.3")</f>
        <v>0</v>
      </c>
      <c r="C33">
        <f t="shared" si="1"/>
        <v>0</v>
      </c>
      <c r="D33" s="6" t="e">
        <f t="shared" si="0"/>
        <v>#DIV/0!</v>
      </c>
    </row>
    <row r="34" spans="1:4" x14ac:dyDescent="0.2">
      <c r="A34" s="4" t="s">
        <v>38</v>
      </c>
      <c r="B34" s="4">
        <f>COUNTIF(Located!F3:F4,"&lt;4.5")-COUNTIF(Located!F3:F4,"&lt;=4.4")</f>
        <v>0</v>
      </c>
      <c r="C34">
        <f t="shared" si="1"/>
        <v>0</v>
      </c>
      <c r="D34" s="6" t="e">
        <f t="shared" si="0"/>
        <v>#DIV/0!</v>
      </c>
    </row>
    <row r="35" spans="1:4" x14ac:dyDescent="0.2">
      <c r="A35" s="4" t="s">
        <v>39</v>
      </c>
      <c r="B35" s="4">
        <f>COUNTIF(Located!F3:F4,"&lt;4.6")-COUNTIF(Located!F3:F4,"&lt;=4.5")</f>
        <v>0</v>
      </c>
      <c r="C35">
        <f t="shared" si="1"/>
        <v>0</v>
      </c>
      <c r="D35" s="6" t="e">
        <f t="shared" si="0"/>
        <v>#DIV/0!</v>
      </c>
    </row>
    <row r="36" spans="1:4" x14ac:dyDescent="0.2">
      <c r="A36" s="4" t="s">
        <v>40</v>
      </c>
      <c r="B36" s="4">
        <f>COUNTIF(Located!F3:F4,"&lt;4.7")-COUNTIF(Located!F3:F4,"&lt;=4.6")</f>
        <v>0</v>
      </c>
      <c r="C36">
        <f t="shared" si="1"/>
        <v>0</v>
      </c>
      <c r="D36" s="6" t="e">
        <f t="shared" si="0"/>
        <v>#DIV/0!</v>
      </c>
    </row>
    <row r="37" spans="1:4" x14ac:dyDescent="0.2">
      <c r="A37" s="4" t="s">
        <v>41</v>
      </c>
      <c r="B37" s="4">
        <f>COUNTIF(Located!F3:F4,"&lt;4.8")-COUNTIF(Located!F3:F4,"&lt;=4.7")</f>
        <v>0</v>
      </c>
      <c r="C37">
        <f t="shared" si="1"/>
        <v>0</v>
      </c>
      <c r="D37" s="6" t="e">
        <f t="shared" si="0"/>
        <v>#DIV/0!</v>
      </c>
    </row>
    <row r="38" spans="1:4" x14ac:dyDescent="0.2">
      <c r="A38" s="4" t="s">
        <v>42</v>
      </c>
      <c r="B38" s="4">
        <f>COUNTIF(Located!F3:F4,"&lt;4.9")-COUNTIF(Located!F3:F4,"&lt;=4.8")</f>
        <v>0</v>
      </c>
      <c r="C38">
        <f t="shared" si="1"/>
        <v>0</v>
      </c>
      <c r="D38" s="6" t="e">
        <f t="shared" si="0"/>
        <v>#DIV/0!</v>
      </c>
    </row>
    <row r="39" spans="1:4" x14ac:dyDescent="0.2">
      <c r="A39" s="4" t="s">
        <v>43</v>
      </c>
      <c r="B39" s="4">
        <f>COUNTIF(Located!F3:F4,"&lt;5.0")-COUNTIF(Located!F3:F4,"&lt;=4.9")</f>
        <v>0</v>
      </c>
      <c r="C39">
        <f t="shared" si="1"/>
        <v>0</v>
      </c>
      <c r="D39" s="6" t="e">
        <f t="shared" si="0"/>
        <v>#DIV/0!</v>
      </c>
    </row>
    <row r="40" spans="1:4" x14ac:dyDescent="0.2">
      <c r="A40" s="4" t="s">
        <v>44</v>
      </c>
      <c r="B40" s="4">
        <f>COUNTIF(Located!F3:F4,"&lt;5.1")-COUNTIF(Located!F3:F4,"&lt;=5.0")</f>
        <v>0</v>
      </c>
      <c r="C40">
        <f t="shared" si="1"/>
        <v>0</v>
      </c>
      <c r="D40" s="6" t="e">
        <f t="shared" si="0"/>
        <v>#DIV/0!</v>
      </c>
    </row>
    <row r="41" spans="1:4" x14ac:dyDescent="0.2">
      <c r="A41" s="4" t="s">
        <v>45</v>
      </c>
      <c r="B41" s="4">
        <f>COUNTIF(Located!F3:F4,"&lt;5.2")-COUNTIF(Located!F3:F4,"&lt;=5.1")</f>
        <v>0</v>
      </c>
      <c r="C41">
        <f t="shared" si="1"/>
        <v>0</v>
      </c>
      <c r="D41" s="6" t="e">
        <f t="shared" si="0"/>
        <v>#DIV/0!</v>
      </c>
    </row>
    <row r="42" spans="1:4" x14ac:dyDescent="0.2">
      <c r="A42" s="4" t="s">
        <v>46</v>
      </c>
      <c r="B42" s="4">
        <f>COUNTIF(Located!F3:F4,"&lt;5.3")-COUNTIF(Located!F3:F4,"&lt;=5.2")</f>
        <v>0</v>
      </c>
      <c r="C42">
        <f t="shared" si="1"/>
        <v>0</v>
      </c>
      <c r="D42" s="6" t="e">
        <f t="shared" si="0"/>
        <v>#DIV/0!</v>
      </c>
    </row>
    <row r="43" spans="1:4" x14ac:dyDescent="0.2">
      <c r="A43" s="4" t="s">
        <v>47</v>
      </c>
      <c r="B43" s="4">
        <f>COUNTIF(Located!F3:F4,"&lt;5.4")-COUNTIF(Located!F3:F4,"&lt;=5.3")</f>
        <v>0</v>
      </c>
      <c r="C43">
        <f t="shared" si="1"/>
        <v>0</v>
      </c>
      <c r="D43" s="6" t="e">
        <f t="shared" si="0"/>
        <v>#DIV/0!</v>
      </c>
    </row>
    <row r="44" spans="1:4" x14ac:dyDescent="0.2">
      <c r="A44" s="4" t="s">
        <v>48</v>
      </c>
      <c r="B44" s="4">
        <f>COUNTIF(Located!F3:F4,"&lt;5.5")-COUNTIF(Located!F3:F4,"&lt;=5.4")</f>
        <v>0</v>
      </c>
      <c r="C44">
        <f t="shared" si="1"/>
        <v>0</v>
      </c>
      <c r="D44" s="6" t="e">
        <f t="shared" si="0"/>
        <v>#DIV/0!</v>
      </c>
    </row>
    <row r="45" spans="1:4" x14ac:dyDescent="0.2">
      <c r="A45" s="4" t="s">
        <v>49</v>
      </c>
      <c r="B45" s="4">
        <f>COUNTIF(Located!F3:F4,"&lt;5.6")-COUNTIF(Located!F3:F4,"&lt;=5.5")</f>
        <v>0</v>
      </c>
      <c r="C45">
        <f t="shared" si="1"/>
        <v>0</v>
      </c>
      <c r="D45" s="6" t="e">
        <f t="shared" si="0"/>
        <v>#DIV/0!</v>
      </c>
    </row>
    <row r="46" spans="1:4" x14ac:dyDescent="0.2">
      <c r="A46" s="4" t="s">
        <v>50</v>
      </c>
      <c r="B46" s="4">
        <f>COUNTIF(Located!F3:F4,"&lt;5.7")-COUNTIF(Located!F3:F4,"&lt;=5.6")</f>
        <v>0</v>
      </c>
      <c r="C46">
        <f t="shared" si="1"/>
        <v>0</v>
      </c>
      <c r="D46" s="6" t="e">
        <f t="shared" si="0"/>
        <v>#DIV/0!</v>
      </c>
    </row>
    <row r="47" spans="1:4" x14ac:dyDescent="0.2">
      <c r="A47" s="4" t="s">
        <v>51</v>
      </c>
      <c r="B47" s="4">
        <f>COUNTIF(Located!F3:F4,"&lt;5.8")-COUNTIF(Located!F3:F4,"&lt;=5.7")</f>
        <v>0</v>
      </c>
      <c r="C47">
        <f t="shared" si="1"/>
        <v>0</v>
      </c>
      <c r="D47" s="6" t="e">
        <f t="shared" si="0"/>
        <v>#DIV/0!</v>
      </c>
    </row>
    <row r="48" spans="1:4" x14ac:dyDescent="0.2">
      <c r="A48" s="4" t="s">
        <v>52</v>
      </c>
      <c r="B48" s="4">
        <f>COUNTIF(Located!F3:F4,"&lt;5.9")-COUNTIF(Located!F3:F4,"&lt;=5.8")</f>
        <v>0</v>
      </c>
      <c r="C48">
        <f t="shared" si="1"/>
        <v>0</v>
      </c>
      <c r="D48" s="6" t="e">
        <f t="shared" si="0"/>
        <v>#DIV/0!</v>
      </c>
    </row>
    <row r="49" spans="1:4" x14ac:dyDescent="0.2">
      <c r="A49" s="4" t="s">
        <v>53</v>
      </c>
      <c r="B49" s="4">
        <f>COUNTIF(Located!F3:F4,"&lt;6.0")-COUNTIF(Located!F3:F4,"&lt;=5.9")</f>
        <v>0</v>
      </c>
      <c r="C49">
        <f t="shared" si="1"/>
        <v>0</v>
      </c>
      <c r="D49" s="6" t="e">
        <f t="shared" si="0"/>
        <v>#DIV/0!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Located</vt:lpstr>
      <vt:lpstr>Unlocated</vt:lpstr>
      <vt:lpstr>Magnitude Frequency Data</vt:lpstr>
      <vt:lpstr>Decay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CQSRG002</dc:creator>
  <cp:lastModifiedBy>Michael Turnbull</cp:lastModifiedBy>
  <dcterms:created xsi:type="dcterms:W3CDTF">2018-09-04T02:42:52Z</dcterms:created>
  <dcterms:modified xsi:type="dcterms:W3CDTF">2025-07-09T10:49:56Z</dcterms:modified>
</cp:coreProperties>
</file>